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"/>
    </mc:Choice>
  </mc:AlternateContent>
  <xr:revisionPtr revIDLastSave="0" documentId="13_ncr:1_{CF70A82B-D4C6-4E2D-B829-73E3AFE6CD6F}" xr6:coauthVersionLast="45" xr6:coauthVersionMax="45" xr10:uidLastSave="{00000000-0000-0000-0000-000000000000}"/>
  <bookViews>
    <workbookView xWindow="-120" yWindow="-120" windowWidth="29040" windowHeight="15840" tabRatio="583" xr2:uid="{00000000-000D-0000-FFFF-FFFF00000000}"/>
  </bookViews>
  <sheets>
    <sheet name="Návrh" sheetId="1" r:id="rId1"/>
    <sheet name="plán výpočtu LP a ZM" sheetId="4" state="hidden" r:id="rId2"/>
    <sheet name="Syntetiky" sheetId="8" r:id="rId3"/>
    <sheet name="Detail" sheetId="9" r:id="rId4"/>
    <sheet name="highlights" sheetId="5" r:id="rId5"/>
    <sheet name="rezervy zisky" sheetId="7" r:id="rId6"/>
    <sheet name="ÚHTS" sheetId="10" r:id="rId7"/>
    <sheet name="OBÚ" sheetId="11" r:id="rId8"/>
    <sheet name="UIT" sheetId="13" r:id="rId9"/>
    <sheet name="OMAR" sheetId="12" r:id="rId10"/>
    <sheet name="v tis." sheetId="3" state="hidden" r:id="rId11"/>
  </sheets>
  <definedNames>
    <definedName name="_xlnm._FilterDatabase" localSheetId="0" hidden="1">Návrh!$A$1:$W$837</definedName>
    <definedName name="_xlnm._FilterDatabase" localSheetId="2" hidden="1">Syntetiky!$A$4:$S$54</definedName>
    <definedName name="_xlnm._FilterDatabase" localSheetId="10" hidden="1">'v tis.'!$B$13:$D$840</definedName>
    <definedName name="_xlnm.Print_Titles" localSheetId="3">Detail!$9:$9</definedName>
    <definedName name="_xlnm.Print_Titles" localSheetId="0">Návrh!$4:$10</definedName>
    <definedName name="_xlnm.Print_Area" localSheetId="3">Detail!$C$3:$H$497</definedName>
    <definedName name="_xlnm.Print_Area" localSheetId="0">Návrh!$A$329:$L$387</definedName>
    <definedName name="_xlnm.Print_Area" localSheetId="5">'rezervy zisky'!$B$2:$T$50</definedName>
    <definedName name="_xlnm.Print_Area" localSheetId="2">Syntetiky!$C$2:$H$65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3" i="13" l="1"/>
  <c r="O23" i="13" s="1"/>
  <c r="J21" i="13"/>
  <c r="J24" i="13" s="1"/>
  <c r="F21" i="13"/>
  <c r="J20" i="13"/>
  <c r="I20" i="13"/>
  <c r="I21" i="13" s="1"/>
  <c r="H20" i="13"/>
  <c r="H21" i="13" s="1"/>
  <c r="G20" i="13"/>
  <c r="F20" i="13"/>
  <c r="E20" i="13"/>
  <c r="E21" i="13" s="1"/>
  <c r="O17" i="13"/>
  <c r="N17" i="13"/>
  <c r="W16" i="13"/>
  <c r="O11" i="13"/>
  <c r="O10" i="13"/>
  <c r="J9" i="13"/>
  <c r="I9" i="13"/>
  <c r="H9" i="13"/>
  <c r="G9" i="13"/>
  <c r="G21" i="13" s="1"/>
  <c r="F9" i="13"/>
  <c r="E9" i="13"/>
  <c r="O7" i="13"/>
  <c r="O6" i="13"/>
  <c r="N6" i="13"/>
  <c r="I22" i="12" l="1"/>
  <c r="I24" i="12" s="1"/>
  <c r="G22" i="12"/>
  <c r="I17" i="12"/>
  <c r="I19" i="12" s="1"/>
  <c r="G17" i="12"/>
  <c r="K15" i="12"/>
  <c r="I14" i="12"/>
  <c r="H14" i="12"/>
  <c r="G14" i="12"/>
  <c r="F14" i="12"/>
  <c r="E14" i="12"/>
  <c r="I49" i="11" l="1"/>
  <c r="K51" i="11" s="1"/>
  <c r="K52" i="11" s="1"/>
  <c r="K46" i="11"/>
  <c r="J55" i="11" s="1"/>
  <c r="I46" i="11"/>
  <c r="K44" i="11"/>
  <c r="J44" i="11"/>
  <c r="I44" i="11"/>
  <c r="H44" i="11"/>
  <c r="G44" i="11"/>
  <c r="K39" i="11"/>
  <c r="J39" i="11"/>
  <c r="I39" i="11"/>
  <c r="H39" i="11"/>
  <c r="G39" i="11"/>
  <c r="K35" i="11"/>
  <c r="J35" i="11"/>
  <c r="I35" i="11"/>
  <c r="H35" i="11"/>
  <c r="G35" i="11"/>
  <c r="J58" i="11" l="1"/>
  <c r="J57" i="11"/>
  <c r="K116" i="10" l="1"/>
  <c r="K115" i="10"/>
  <c r="G103" i="10"/>
  <c r="I102" i="10"/>
  <c r="N99" i="10"/>
  <c r="I98" i="10"/>
  <c r="H98" i="10"/>
  <c r="G98" i="10"/>
  <c r="F98" i="10"/>
  <c r="F100" i="10" s="1"/>
  <c r="E98" i="10"/>
  <c r="I76" i="10"/>
  <c r="H76" i="10"/>
  <c r="G76" i="10"/>
  <c r="F76" i="10"/>
  <c r="E76" i="10"/>
  <c r="G61" i="10"/>
  <c r="I56" i="10"/>
  <c r="I100" i="10" s="1"/>
  <c r="H56" i="10"/>
  <c r="G56" i="10"/>
  <c r="F56" i="10"/>
  <c r="E56" i="10"/>
  <c r="E100" i="10" s="1"/>
  <c r="L54" i="10"/>
  <c r="L52" i="10"/>
  <c r="I50" i="10"/>
  <c r="H50" i="10"/>
  <c r="H100" i="10" s="1"/>
  <c r="G50" i="10"/>
  <c r="F50" i="10"/>
  <c r="E50" i="10"/>
  <c r="I45" i="10"/>
  <c r="H45" i="10"/>
  <c r="G45" i="10"/>
  <c r="F45" i="10"/>
  <c r="E45" i="10"/>
  <c r="R43" i="10"/>
  <c r="I37" i="10"/>
  <c r="H37" i="10"/>
  <c r="G37" i="10"/>
  <c r="F37" i="10"/>
  <c r="E37" i="10"/>
  <c r="L35" i="10"/>
  <c r="L34" i="10"/>
  <c r="H30" i="10"/>
  <c r="G30" i="10"/>
  <c r="F30" i="10"/>
  <c r="E30" i="10"/>
  <c r="I29" i="10"/>
  <c r="I30" i="10" s="1"/>
  <c r="I26" i="10"/>
  <c r="H26" i="10"/>
  <c r="F26" i="10"/>
  <c r="E26" i="10"/>
  <c r="K17" i="10"/>
  <c r="G17" i="10"/>
  <c r="G16" i="10"/>
  <c r="G26" i="10" s="1"/>
  <c r="I14" i="10"/>
  <c r="H14" i="10"/>
  <c r="G14" i="10"/>
  <c r="F14" i="10"/>
  <c r="E14" i="10"/>
  <c r="K5" i="10"/>
  <c r="I113" i="10" l="1"/>
  <c r="I105" i="10"/>
  <c r="G100" i="10"/>
  <c r="G105" i="10" s="1"/>
  <c r="I109" i="10" s="1"/>
  <c r="I110" i="10" s="1"/>
  <c r="N105" i="10"/>
  <c r="N107" i="10" s="1"/>
  <c r="L105" i="10"/>
  <c r="L106" i="10" s="1"/>
  <c r="I107" i="10" l="1"/>
  <c r="I114" i="10"/>
  <c r="K113" i="10"/>
  <c r="K117" i="10" s="1"/>
  <c r="K119" i="10" s="1"/>
  <c r="J16" i="7" l="1"/>
  <c r="J17" i="7"/>
  <c r="J18" i="7"/>
  <c r="J20" i="7"/>
  <c r="H487" i="9"/>
  <c r="H486" i="9"/>
  <c r="H485" i="9"/>
  <c r="H484" i="9"/>
  <c r="H483" i="9"/>
  <c r="H482" i="9"/>
  <c r="H481" i="9"/>
  <c r="H480" i="9"/>
  <c r="H479" i="9"/>
  <c r="H478" i="9"/>
  <c r="H477" i="9"/>
  <c r="H476" i="9"/>
  <c r="H475" i="9"/>
  <c r="H474" i="9"/>
  <c r="H473" i="9"/>
  <c r="H472" i="9"/>
  <c r="H471" i="9"/>
  <c r="H470" i="9"/>
  <c r="H469" i="9"/>
  <c r="H468" i="9"/>
  <c r="H467" i="9"/>
  <c r="H466" i="9"/>
  <c r="H465" i="9"/>
  <c r="H464" i="9"/>
  <c r="H463" i="9"/>
  <c r="H462" i="9"/>
  <c r="H461" i="9"/>
  <c r="H460" i="9"/>
  <c r="H459" i="9"/>
  <c r="H458" i="9"/>
  <c r="H457" i="9"/>
  <c r="H456" i="9"/>
  <c r="H455" i="9"/>
  <c r="H454" i="9"/>
  <c r="H453" i="9"/>
  <c r="H452" i="9"/>
  <c r="H451" i="9"/>
  <c r="H450" i="9"/>
  <c r="H449" i="9"/>
  <c r="H448" i="9"/>
  <c r="H447" i="9"/>
  <c r="H446" i="9"/>
  <c r="H445" i="9"/>
  <c r="H444" i="9"/>
  <c r="H443" i="9"/>
  <c r="H442" i="9"/>
  <c r="H441" i="9"/>
  <c r="H440" i="9"/>
  <c r="H439" i="9"/>
  <c r="H438" i="9"/>
  <c r="H437" i="9"/>
  <c r="H436" i="9"/>
  <c r="H435" i="9"/>
  <c r="H434" i="9"/>
  <c r="H433" i="9"/>
  <c r="H432" i="9"/>
  <c r="H431" i="9"/>
  <c r="H430" i="9"/>
  <c r="H429" i="9"/>
  <c r="H428" i="9"/>
  <c r="H427" i="9"/>
  <c r="H426" i="9"/>
  <c r="H425" i="9"/>
  <c r="H424" i="9"/>
  <c r="H423" i="9"/>
  <c r="H422" i="9"/>
  <c r="H421" i="9"/>
  <c r="H420" i="9"/>
  <c r="H419" i="9"/>
  <c r="H418" i="9"/>
  <c r="H417" i="9"/>
  <c r="H416" i="9"/>
  <c r="H415" i="9"/>
  <c r="H414" i="9"/>
  <c r="H413" i="9"/>
  <c r="H412" i="9"/>
  <c r="H411" i="9"/>
  <c r="H410" i="9"/>
  <c r="H409" i="9"/>
  <c r="H408" i="9"/>
  <c r="H407" i="9"/>
  <c r="H406" i="9"/>
  <c r="H405" i="9"/>
  <c r="H404" i="9"/>
  <c r="H403" i="9"/>
  <c r="H402" i="9"/>
  <c r="H401" i="9"/>
  <c r="H400" i="9"/>
  <c r="H399" i="9"/>
  <c r="H398" i="9"/>
  <c r="H397" i="9"/>
  <c r="H396" i="9"/>
  <c r="H395" i="9"/>
  <c r="H394" i="9"/>
  <c r="H393" i="9"/>
  <c r="H392" i="9"/>
  <c r="H391" i="9"/>
  <c r="H390" i="9"/>
  <c r="H389" i="9"/>
  <c r="H388" i="9"/>
  <c r="H387" i="9"/>
  <c r="H386" i="9"/>
  <c r="H385" i="9"/>
  <c r="H384" i="9"/>
  <c r="H383" i="9"/>
  <c r="H382" i="9"/>
  <c r="H381" i="9"/>
  <c r="H380" i="9"/>
  <c r="H379" i="9"/>
  <c r="H378" i="9"/>
  <c r="H377" i="9"/>
  <c r="H376" i="9"/>
  <c r="H375" i="9"/>
  <c r="H374" i="9"/>
  <c r="H373" i="9"/>
  <c r="H372" i="9"/>
  <c r="H371" i="9"/>
  <c r="H370" i="9"/>
  <c r="H369" i="9"/>
  <c r="H368" i="9"/>
  <c r="H367" i="9"/>
  <c r="H366" i="9"/>
  <c r="H365" i="9"/>
  <c r="H364" i="9"/>
  <c r="H363" i="9"/>
  <c r="H362" i="9"/>
  <c r="H361" i="9"/>
  <c r="H360" i="9"/>
  <c r="H359" i="9"/>
  <c r="H358" i="9"/>
  <c r="H357" i="9"/>
  <c r="H356" i="9"/>
  <c r="H355" i="9"/>
  <c r="H354" i="9"/>
  <c r="H353" i="9"/>
  <c r="H352" i="9"/>
  <c r="H351" i="9"/>
  <c r="H350" i="9"/>
  <c r="H349" i="9"/>
  <c r="H348" i="9"/>
  <c r="H347" i="9"/>
  <c r="H346" i="9"/>
  <c r="H345" i="9"/>
  <c r="H344" i="9"/>
  <c r="H343" i="9"/>
  <c r="H342" i="9"/>
  <c r="H341" i="9"/>
  <c r="H340" i="9"/>
  <c r="H339" i="9"/>
  <c r="H338" i="9"/>
  <c r="H337" i="9"/>
  <c r="H336" i="9"/>
  <c r="H335" i="9"/>
  <c r="H334" i="9"/>
  <c r="H333" i="9"/>
  <c r="H332" i="9"/>
  <c r="H331" i="9"/>
  <c r="H330" i="9"/>
  <c r="H329" i="9"/>
  <c r="H328" i="9"/>
  <c r="H327" i="9"/>
  <c r="H326" i="9"/>
  <c r="H325" i="9"/>
  <c r="H324" i="9"/>
  <c r="H323" i="9"/>
  <c r="H322" i="9"/>
  <c r="H321" i="9"/>
  <c r="H320" i="9"/>
  <c r="H319" i="9"/>
  <c r="H318" i="9"/>
  <c r="H317" i="9"/>
  <c r="H316" i="9"/>
  <c r="H315" i="9"/>
  <c r="H314" i="9"/>
  <c r="H313" i="9"/>
  <c r="H312" i="9"/>
  <c r="H311" i="9"/>
  <c r="H310" i="9"/>
  <c r="H309" i="9"/>
  <c r="H308" i="9"/>
  <c r="H307" i="9"/>
  <c r="H306" i="9"/>
  <c r="H305" i="9"/>
  <c r="H304" i="9"/>
  <c r="H303" i="9"/>
  <c r="H302" i="9"/>
  <c r="H301" i="9"/>
  <c r="H300" i="9"/>
  <c r="H299" i="9"/>
  <c r="H298" i="9"/>
  <c r="H297" i="9"/>
  <c r="H296" i="9"/>
  <c r="H295" i="9"/>
  <c r="H294" i="9"/>
  <c r="H293" i="9"/>
  <c r="H292" i="9"/>
  <c r="H291" i="9"/>
  <c r="H290" i="9"/>
  <c r="H289" i="9"/>
  <c r="H288" i="9"/>
  <c r="H287" i="9"/>
  <c r="H286" i="9"/>
  <c r="H285" i="9"/>
  <c r="H284" i="9"/>
  <c r="H283" i="9"/>
  <c r="H282" i="9"/>
  <c r="H281" i="9"/>
  <c r="H280" i="9"/>
  <c r="H279" i="9"/>
  <c r="H278" i="9"/>
  <c r="H277" i="9"/>
  <c r="H276" i="9"/>
  <c r="H275" i="9"/>
  <c r="H274" i="9"/>
  <c r="H273" i="9"/>
  <c r="H272" i="9"/>
  <c r="H271" i="9"/>
  <c r="H270" i="9"/>
  <c r="H269" i="9"/>
  <c r="H268" i="9"/>
  <c r="H267" i="9"/>
  <c r="H266" i="9"/>
  <c r="H265" i="9"/>
  <c r="H264" i="9"/>
  <c r="H263" i="9"/>
  <c r="H262" i="9"/>
  <c r="H261" i="9"/>
  <c r="H260" i="9"/>
  <c r="H259" i="9"/>
  <c r="H258" i="9"/>
  <c r="H257" i="9"/>
  <c r="H256" i="9"/>
  <c r="H255" i="9"/>
  <c r="H254" i="9"/>
  <c r="H253" i="9"/>
  <c r="H252" i="9"/>
  <c r="H251" i="9"/>
  <c r="H250" i="9"/>
  <c r="H249" i="9"/>
  <c r="H248" i="9"/>
  <c r="H247" i="9"/>
  <c r="H246" i="9"/>
  <c r="H245" i="9"/>
  <c r="H244" i="9"/>
  <c r="H243" i="9"/>
  <c r="H242" i="9"/>
  <c r="H241" i="9"/>
  <c r="H240" i="9"/>
  <c r="H239" i="9"/>
  <c r="H238" i="9"/>
  <c r="H237" i="9"/>
  <c r="H236" i="9"/>
  <c r="H235" i="9"/>
  <c r="H234" i="9"/>
  <c r="H233" i="9"/>
  <c r="H232" i="9"/>
  <c r="H231" i="9"/>
  <c r="H230" i="9"/>
  <c r="H229" i="9"/>
  <c r="H228" i="9"/>
  <c r="H227" i="9"/>
  <c r="H226" i="9"/>
  <c r="H225" i="9"/>
  <c r="H224" i="9"/>
  <c r="H223" i="9"/>
  <c r="H222" i="9"/>
  <c r="H221" i="9"/>
  <c r="H220" i="9"/>
  <c r="H219" i="9"/>
  <c r="H218" i="9"/>
  <c r="H217" i="9"/>
  <c r="H216" i="9"/>
  <c r="H215" i="9"/>
  <c r="H214" i="9"/>
  <c r="H213" i="9"/>
  <c r="H212" i="9"/>
  <c r="H211" i="9"/>
  <c r="H210" i="9"/>
  <c r="H209" i="9"/>
  <c r="H208" i="9"/>
  <c r="H207" i="9"/>
  <c r="H206" i="9"/>
  <c r="H205" i="9"/>
  <c r="H204" i="9"/>
  <c r="H203" i="9"/>
  <c r="H202" i="9"/>
  <c r="H201" i="9"/>
  <c r="H200" i="9"/>
  <c r="H199" i="9"/>
  <c r="H198" i="9"/>
  <c r="H197" i="9"/>
  <c r="H196" i="9"/>
  <c r="H195" i="9"/>
  <c r="H194" i="9"/>
  <c r="H193" i="9"/>
  <c r="H192" i="9"/>
  <c r="H191" i="9"/>
  <c r="H190" i="9"/>
  <c r="H189" i="9"/>
  <c r="H188" i="9"/>
  <c r="H187" i="9"/>
  <c r="H186" i="9"/>
  <c r="H185" i="9"/>
  <c r="H184" i="9"/>
  <c r="H183" i="9"/>
  <c r="H182" i="9"/>
  <c r="H181" i="9"/>
  <c r="H180" i="9"/>
  <c r="H179" i="9"/>
  <c r="H178" i="9"/>
  <c r="H177" i="9"/>
  <c r="H176" i="9"/>
  <c r="H175" i="9"/>
  <c r="H174" i="9"/>
  <c r="H173" i="9"/>
  <c r="H172" i="9"/>
  <c r="H171" i="9"/>
  <c r="H170" i="9"/>
  <c r="H169" i="9"/>
  <c r="H168" i="9"/>
  <c r="H167" i="9"/>
  <c r="H166" i="9"/>
  <c r="H165" i="9"/>
  <c r="H164" i="9"/>
  <c r="H163" i="9"/>
  <c r="H162" i="9"/>
  <c r="H161" i="9"/>
  <c r="H160" i="9"/>
  <c r="H159" i="9"/>
  <c r="H158" i="9"/>
  <c r="H157" i="9"/>
  <c r="H156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V837" i="1" l="1"/>
  <c r="U837" i="1"/>
  <c r="V836" i="1"/>
  <c r="U836" i="1"/>
  <c r="V835" i="1"/>
  <c r="U835" i="1"/>
  <c r="V833" i="1"/>
  <c r="U833" i="1"/>
  <c r="V832" i="1"/>
  <c r="U832" i="1"/>
  <c r="V831" i="1"/>
  <c r="U831" i="1"/>
  <c r="V830" i="1"/>
  <c r="U830" i="1"/>
  <c r="V828" i="1"/>
  <c r="U828" i="1"/>
  <c r="V826" i="1"/>
  <c r="U826" i="1"/>
  <c r="V825" i="1"/>
  <c r="U825" i="1"/>
  <c r="V823" i="1"/>
  <c r="U823" i="1"/>
  <c r="V822" i="1"/>
  <c r="U822" i="1"/>
  <c r="V821" i="1"/>
  <c r="U821" i="1"/>
  <c r="V820" i="1"/>
  <c r="U820" i="1"/>
  <c r="V819" i="1"/>
  <c r="U819" i="1"/>
  <c r="V818" i="1"/>
  <c r="U818" i="1"/>
  <c r="V817" i="1"/>
  <c r="U817" i="1"/>
  <c r="V814" i="1"/>
  <c r="U814" i="1"/>
  <c r="V812" i="1"/>
  <c r="U812" i="1"/>
  <c r="V811" i="1"/>
  <c r="U811" i="1"/>
  <c r="V810" i="1"/>
  <c r="U810" i="1"/>
  <c r="V809" i="1"/>
  <c r="U809" i="1"/>
  <c r="V808" i="1"/>
  <c r="U808" i="1"/>
  <c r="V807" i="1"/>
  <c r="U807" i="1"/>
  <c r="V804" i="1"/>
  <c r="U804" i="1"/>
  <c r="V801" i="1"/>
  <c r="U801" i="1"/>
  <c r="V798" i="1"/>
  <c r="U798" i="1"/>
  <c r="V796" i="1"/>
  <c r="U796" i="1"/>
  <c r="V795" i="1"/>
  <c r="U795" i="1"/>
  <c r="V793" i="1"/>
  <c r="U793" i="1"/>
  <c r="V791" i="1"/>
  <c r="U791" i="1"/>
  <c r="V790" i="1"/>
  <c r="U790" i="1"/>
  <c r="V789" i="1"/>
  <c r="U789" i="1"/>
  <c r="V788" i="1"/>
  <c r="U788" i="1"/>
  <c r="V787" i="1"/>
  <c r="U787" i="1"/>
  <c r="V786" i="1"/>
  <c r="U786" i="1"/>
  <c r="V784" i="1"/>
  <c r="U784" i="1"/>
  <c r="V783" i="1"/>
  <c r="U783" i="1"/>
  <c r="V782" i="1"/>
  <c r="U782" i="1"/>
  <c r="V781" i="1"/>
  <c r="U781" i="1"/>
  <c r="V780" i="1"/>
  <c r="U780" i="1"/>
  <c r="V779" i="1"/>
  <c r="U779" i="1"/>
  <c r="V778" i="1"/>
  <c r="U778" i="1"/>
  <c r="V777" i="1"/>
  <c r="U777" i="1"/>
  <c r="V776" i="1"/>
  <c r="U776" i="1"/>
  <c r="V775" i="1"/>
  <c r="U775" i="1"/>
  <c r="V774" i="1"/>
  <c r="U774" i="1"/>
  <c r="V773" i="1"/>
  <c r="U773" i="1"/>
  <c r="V772" i="1"/>
  <c r="U772" i="1"/>
  <c r="V771" i="1"/>
  <c r="U771" i="1"/>
  <c r="V770" i="1"/>
  <c r="U770" i="1"/>
  <c r="V769" i="1"/>
  <c r="U769" i="1"/>
  <c r="V768" i="1"/>
  <c r="U768" i="1"/>
  <c r="V767" i="1"/>
  <c r="U767" i="1"/>
  <c r="V766" i="1"/>
  <c r="U766" i="1"/>
  <c r="V765" i="1"/>
  <c r="U765" i="1"/>
  <c r="V764" i="1"/>
  <c r="U764" i="1"/>
  <c r="V763" i="1"/>
  <c r="U763" i="1"/>
  <c r="V762" i="1"/>
  <c r="U762" i="1"/>
  <c r="V761" i="1"/>
  <c r="U761" i="1"/>
  <c r="V759" i="1"/>
  <c r="U759" i="1"/>
  <c r="V758" i="1"/>
  <c r="U758" i="1"/>
  <c r="V757" i="1"/>
  <c r="U757" i="1"/>
  <c r="V756" i="1"/>
  <c r="U756" i="1"/>
  <c r="V754" i="1"/>
  <c r="U754" i="1"/>
  <c r="V753" i="1"/>
  <c r="U753" i="1"/>
  <c r="V752" i="1"/>
  <c r="U752" i="1"/>
  <c r="V751" i="1"/>
  <c r="U751" i="1"/>
  <c r="V750" i="1"/>
  <c r="U750" i="1"/>
  <c r="V749" i="1"/>
  <c r="U749" i="1"/>
  <c r="V745" i="1"/>
  <c r="U745" i="1"/>
  <c r="V742" i="1"/>
  <c r="U742" i="1"/>
  <c r="V741" i="1"/>
  <c r="U741" i="1"/>
  <c r="V740" i="1"/>
  <c r="U740" i="1"/>
  <c r="V738" i="1"/>
  <c r="U738" i="1"/>
  <c r="V736" i="1"/>
  <c r="U736" i="1"/>
  <c r="V733" i="1"/>
  <c r="U733" i="1"/>
  <c r="V730" i="1"/>
  <c r="U730" i="1"/>
  <c r="V729" i="1"/>
  <c r="U729" i="1"/>
  <c r="V728" i="1"/>
  <c r="U728" i="1"/>
  <c r="V727" i="1"/>
  <c r="U727" i="1"/>
  <c r="V726" i="1"/>
  <c r="U726" i="1"/>
  <c r="V723" i="1"/>
  <c r="U723" i="1"/>
  <c r="V720" i="1"/>
  <c r="U720" i="1"/>
  <c r="V719" i="1"/>
  <c r="U719" i="1"/>
  <c r="V718" i="1"/>
  <c r="U718" i="1"/>
  <c r="V717" i="1"/>
  <c r="U717" i="1"/>
  <c r="V713" i="1"/>
  <c r="U713" i="1"/>
  <c r="V712" i="1"/>
  <c r="U712" i="1"/>
  <c r="V711" i="1"/>
  <c r="U711" i="1"/>
  <c r="V710" i="1"/>
  <c r="U710" i="1"/>
  <c r="V708" i="1"/>
  <c r="U708" i="1"/>
  <c r="V706" i="1"/>
  <c r="U706" i="1"/>
  <c r="V703" i="1"/>
  <c r="U703" i="1"/>
  <c r="V702" i="1"/>
  <c r="U702" i="1"/>
  <c r="V701" i="1"/>
  <c r="U701" i="1"/>
  <c r="V700" i="1"/>
  <c r="U700" i="1"/>
  <c r="V699" i="1"/>
  <c r="U699" i="1"/>
  <c r="V698" i="1"/>
  <c r="U698" i="1"/>
  <c r="V695" i="1"/>
  <c r="U695" i="1"/>
  <c r="V694" i="1"/>
  <c r="U694" i="1"/>
  <c r="V693" i="1"/>
  <c r="U693" i="1"/>
  <c r="V692" i="1"/>
  <c r="U692" i="1"/>
  <c r="V691" i="1"/>
  <c r="U691" i="1"/>
  <c r="V690" i="1"/>
  <c r="U690" i="1"/>
  <c r="V689" i="1"/>
  <c r="U689" i="1"/>
  <c r="V688" i="1"/>
  <c r="U688" i="1"/>
  <c r="V687" i="1"/>
  <c r="U687" i="1"/>
  <c r="V686" i="1"/>
  <c r="U686" i="1"/>
  <c r="V685" i="1"/>
  <c r="U685" i="1"/>
  <c r="V684" i="1"/>
  <c r="U684" i="1"/>
  <c r="V683" i="1"/>
  <c r="U683" i="1"/>
  <c r="V682" i="1"/>
  <c r="U682" i="1"/>
  <c r="V681" i="1"/>
  <c r="U681" i="1"/>
  <c r="V680" i="1"/>
  <c r="U680" i="1"/>
  <c r="V679" i="1"/>
  <c r="U679" i="1"/>
  <c r="V678" i="1"/>
  <c r="U678" i="1"/>
  <c r="V676" i="1"/>
  <c r="U676" i="1"/>
  <c r="V675" i="1"/>
  <c r="U675" i="1"/>
  <c r="V672" i="1"/>
  <c r="U672" i="1"/>
  <c r="V671" i="1"/>
  <c r="U671" i="1"/>
  <c r="V669" i="1"/>
  <c r="U669" i="1"/>
  <c r="V668" i="1"/>
  <c r="U668" i="1"/>
  <c r="V667" i="1"/>
  <c r="U667" i="1"/>
  <c r="V666" i="1"/>
  <c r="U666" i="1"/>
  <c r="V665" i="1"/>
  <c r="U665" i="1"/>
  <c r="V663" i="1"/>
  <c r="U663" i="1"/>
  <c r="V661" i="1"/>
  <c r="U661" i="1"/>
  <c r="V660" i="1"/>
  <c r="U660" i="1"/>
  <c r="V658" i="1"/>
  <c r="U658" i="1"/>
  <c r="V657" i="1"/>
  <c r="U657" i="1"/>
  <c r="V656" i="1"/>
  <c r="U656" i="1"/>
  <c r="V655" i="1"/>
  <c r="U655" i="1"/>
  <c r="V653" i="1"/>
  <c r="U653" i="1"/>
  <c r="V652" i="1"/>
  <c r="U652" i="1"/>
  <c r="V650" i="1"/>
  <c r="U650" i="1"/>
  <c r="V649" i="1"/>
  <c r="U649" i="1"/>
  <c r="V648" i="1"/>
  <c r="U648" i="1"/>
  <c r="V647" i="1"/>
  <c r="U647" i="1"/>
  <c r="V646" i="1"/>
  <c r="U646" i="1"/>
  <c r="V645" i="1"/>
  <c r="U645" i="1"/>
  <c r="V644" i="1"/>
  <c r="U644" i="1"/>
  <c r="V643" i="1"/>
  <c r="U643" i="1"/>
  <c r="V642" i="1"/>
  <c r="U642" i="1"/>
  <c r="V641" i="1"/>
  <c r="U641" i="1"/>
  <c r="V639" i="1"/>
  <c r="U639" i="1"/>
  <c r="V638" i="1"/>
  <c r="U638" i="1"/>
  <c r="V637" i="1"/>
  <c r="U637" i="1"/>
  <c r="V636" i="1"/>
  <c r="U636" i="1"/>
  <c r="V635" i="1"/>
  <c r="U635" i="1"/>
  <c r="V634" i="1"/>
  <c r="U634" i="1"/>
  <c r="V632" i="1"/>
  <c r="U632" i="1"/>
  <c r="V631" i="1"/>
  <c r="U631" i="1"/>
  <c r="V630" i="1"/>
  <c r="U630" i="1"/>
  <c r="V628" i="1"/>
  <c r="U628" i="1"/>
  <c r="V627" i="1"/>
  <c r="U627" i="1"/>
  <c r="V626" i="1"/>
  <c r="U626" i="1"/>
  <c r="V625" i="1"/>
  <c r="U625" i="1"/>
  <c r="V624" i="1"/>
  <c r="U624" i="1"/>
  <c r="V623" i="1"/>
  <c r="U623" i="1"/>
  <c r="S837" i="1"/>
  <c r="S836" i="1"/>
  <c r="S835" i="1"/>
  <c r="S833" i="1"/>
  <c r="S832" i="1"/>
  <c r="S831" i="1"/>
  <c r="S830" i="1"/>
  <c r="S828" i="1"/>
  <c r="S826" i="1"/>
  <c r="S825" i="1"/>
  <c r="S823" i="1"/>
  <c r="S822" i="1"/>
  <c r="S821" i="1"/>
  <c r="S820" i="1"/>
  <c r="S819" i="1"/>
  <c r="S818" i="1"/>
  <c r="S814" i="1"/>
  <c r="S812" i="1"/>
  <c r="S811" i="1"/>
  <c r="S810" i="1"/>
  <c r="S809" i="1"/>
  <c r="S808" i="1"/>
  <c r="S807" i="1"/>
  <c r="S804" i="1"/>
  <c r="S801" i="1"/>
  <c r="S798" i="1"/>
  <c r="S796" i="1"/>
  <c r="S795" i="1"/>
  <c r="S793" i="1"/>
  <c r="S791" i="1"/>
  <c r="S790" i="1"/>
  <c r="S789" i="1"/>
  <c r="S788" i="1"/>
  <c r="S787" i="1"/>
  <c r="S786" i="1"/>
  <c r="S784" i="1"/>
  <c r="S783" i="1"/>
  <c r="S782" i="1"/>
  <c r="S781" i="1"/>
  <c r="S780" i="1"/>
  <c r="S779" i="1"/>
  <c r="S778" i="1"/>
  <c r="S777" i="1"/>
  <c r="S776" i="1"/>
  <c r="S775" i="1"/>
  <c r="S774" i="1"/>
  <c r="S773" i="1"/>
  <c r="S772" i="1"/>
  <c r="S771" i="1"/>
  <c r="S770" i="1"/>
  <c r="S769" i="1"/>
  <c r="S768" i="1"/>
  <c r="S767" i="1"/>
  <c r="S766" i="1"/>
  <c r="S765" i="1"/>
  <c r="S762" i="1"/>
  <c r="S761" i="1"/>
  <c r="S759" i="1"/>
  <c r="S758" i="1"/>
  <c r="S757" i="1"/>
  <c r="S756" i="1"/>
  <c r="S754" i="1"/>
  <c r="S753" i="1"/>
  <c r="S752" i="1"/>
  <c r="S751" i="1"/>
  <c r="S750" i="1"/>
  <c r="S745" i="1"/>
  <c r="S742" i="1"/>
  <c r="S740" i="1"/>
  <c r="S738" i="1"/>
  <c r="S736" i="1"/>
  <c r="S735" i="1"/>
  <c r="S733" i="1"/>
  <c r="S730" i="1"/>
  <c r="S729" i="1"/>
  <c r="S728" i="1"/>
  <c r="S727" i="1"/>
  <c r="S726" i="1"/>
  <c r="S723" i="1"/>
  <c r="S720" i="1"/>
  <c r="S719" i="1"/>
  <c r="S718" i="1"/>
  <c r="S717" i="1"/>
  <c r="S713" i="1"/>
  <c r="S712" i="1"/>
  <c r="S711" i="1"/>
  <c r="S710" i="1"/>
  <c r="S708" i="1"/>
  <c r="S706" i="1"/>
  <c r="S702" i="1"/>
  <c r="S701" i="1"/>
  <c r="S699" i="1"/>
  <c r="S698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6" i="1"/>
  <c r="S672" i="1"/>
  <c r="S671" i="1"/>
  <c r="S669" i="1"/>
  <c r="S668" i="1"/>
  <c r="S667" i="1"/>
  <c r="S666" i="1"/>
  <c r="S663" i="1"/>
  <c r="S661" i="1"/>
  <c r="S660" i="1"/>
  <c r="S658" i="1"/>
  <c r="S657" i="1"/>
  <c r="S656" i="1"/>
  <c r="S655" i="1"/>
  <c r="S653" i="1"/>
  <c r="S652" i="1"/>
  <c r="S650" i="1"/>
  <c r="S649" i="1"/>
  <c r="S648" i="1"/>
  <c r="S647" i="1"/>
  <c r="S646" i="1"/>
  <c r="S645" i="1"/>
  <c r="S644" i="1"/>
  <c r="S643" i="1"/>
  <c r="S642" i="1"/>
  <c r="S641" i="1"/>
  <c r="S639" i="1"/>
  <c r="S638" i="1"/>
  <c r="S637" i="1"/>
  <c r="S636" i="1"/>
  <c r="S635" i="1"/>
  <c r="S634" i="1"/>
  <c r="S632" i="1"/>
  <c r="S631" i="1"/>
  <c r="S628" i="1"/>
  <c r="S627" i="1"/>
  <c r="S626" i="1"/>
  <c r="S625" i="1"/>
  <c r="S624" i="1"/>
  <c r="S623" i="1"/>
  <c r="V617" i="1"/>
  <c r="U617" i="1"/>
  <c r="V616" i="1"/>
  <c r="U616" i="1"/>
  <c r="V615" i="1"/>
  <c r="U615" i="1"/>
  <c r="V614" i="1"/>
  <c r="U614" i="1"/>
  <c r="V613" i="1"/>
  <c r="U613" i="1"/>
  <c r="V612" i="1"/>
  <c r="U612" i="1"/>
  <c r="V611" i="1"/>
  <c r="U611" i="1"/>
  <c r="V610" i="1"/>
  <c r="U610" i="1"/>
  <c r="V609" i="1"/>
  <c r="U609" i="1"/>
  <c r="V608" i="1"/>
  <c r="U608" i="1"/>
  <c r="V607" i="1"/>
  <c r="U607" i="1"/>
  <c r="V603" i="1"/>
  <c r="U603" i="1"/>
  <c r="V602" i="1"/>
  <c r="U602" i="1"/>
  <c r="V601" i="1"/>
  <c r="U601" i="1"/>
  <c r="V600" i="1"/>
  <c r="U600" i="1"/>
  <c r="V599" i="1"/>
  <c r="U599" i="1"/>
  <c r="V598" i="1"/>
  <c r="U598" i="1"/>
  <c r="V597" i="1"/>
  <c r="U597" i="1"/>
  <c r="V596" i="1"/>
  <c r="U596" i="1"/>
  <c r="V595" i="1"/>
  <c r="U595" i="1"/>
  <c r="V593" i="1"/>
  <c r="U593" i="1"/>
  <c r="V592" i="1"/>
  <c r="U592" i="1"/>
  <c r="V590" i="1"/>
  <c r="U590" i="1"/>
  <c r="V589" i="1"/>
  <c r="U589" i="1"/>
  <c r="V588" i="1"/>
  <c r="U588" i="1"/>
  <c r="V587" i="1"/>
  <c r="U587" i="1"/>
  <c r="V586" i="1"/>
  <c r="U586" i="1"/>
  <c r="V583" i="1"/>
  <c r="U583" i="1"/>
  <c r="V581" i="1"/>
  <c r="U581" i="1"/>
  <c r="V579" i="1"/>
  <c r="U579" i="1"/>
  <c r="V576" i="1"/>
  <c r="U576" i="1"/>
  <c r="V573" i="1"/>
  <c r="U573" i="1"/>
  <c r="V571" i="1"/>
  <c r="U571" i="1"/>
  <c r="V569" i="1"/>
  <c r="U569" i="1"/>
  <c r="V566" i="1"/>
  <c r="U566" i="1"/>
  <c r="V563" i="1"/>
  <c r="U563" i="1"/>
  <c r="V562" i="1"/>
  <c r="U562" i="1"/>
  <c r="V560" i="1"/>
  <c r="U560" i="1"/>
  <c r="V559" i="1"/>
  <c r="U559" i="1"/>
  <c r="V558" i="1"/>
  <c r="U558" i="1"/>
  <c r="V556" i="1"/>
  <c r="U556" i="1"/>
  <c r="V555" i="1"/>
  <c r="U555" i="1"/>
  <c r="V554" i="1"/>
  <c r="U554" i="1"/>
  <c r="V552" i="1"/>
  <c r="U552" i="1"/>
  <c r="V551" i="1"/>
  <c r="U551" i="1"/>
  <c r="V550" i="1"/>
  <c r="U550" i="1"/>
  <c r="V549" i="1"/>
  <c r="U549" i="1"/>
  <c r="V547" i="1"/>
  <c r="U547" i="1"/>
  <c r="V546" i="1"/>
  <c r="U546" i="1"/>
  <c r="V545" i="1"/>
  <c r="U545" i="1"/>
  <c r="V544" i="1"/>
  <c r="U544" i="1"/>
  <c r="V542" i="1"/>
  <c r="U542" i="1"/>
  <c r="V541" i="1"/>
  <c r="U541" i="1"/>
  <c r="V540" i="1"/>
  <c r="U540" i="1"/>
  <c r="V539" i="1"/>
  <c r="U539" i="1"/>
  <c r="V538" i="1"/>
  <c r="U538" i="1"/>
  <c r="V537" i="1"/>
  <c r="U537" i="1"/>
  <c r="V536" i="1"/>
  <c r="U536" i="1"/>
  <c r="V534" i="1"/>
  <c r="U534" i="1"/>
  <c r="V533" i="1"/>
  <c r="U533" i="1"/>
  <c r="V532" i="1"/>
  <c r="U532" i="1"/>
  <c r="V531" i="1"/>
  <c r="U531" i="1"/>
  <c r="V529" i="1"/>
  <c r="U529" i="1"/>
  <c r="V526" i="1"/>
  <c r="U526" i="1"/>
  <c r="V524" i="1"/>
  <c r="U524" i="1"/>
  <c r="V521" i="1"/>
  <c r="U521" i="1"/>
  <c r="V520" i="1"/>
  <c r="U520" i="1"/>
  <c r="V519" i="1"/>
  <c r="U519" i="1"/>
  <c r="V518" i="1"/>
  <c r="U518" i="1"/>
  <c r="V517" i="1"/>
  <c r="U517" i="1"/>
  <c r="V515" i="1"/>
  <c r="U515" i="1"/>
  <c r="V514" i="1"/>
  <c r="U514" i="1"/>
  <c r="V513" i="1"/>
  <c r="U513" i="1"/>
  <c r="V512" i="1"/>
  <c r="U512" i="1"/>
  <c r="V511" i="1"/>
  <c r="U511" i="1"/>
  <c r="V510" i="1"/>
  <c r="U510" i="1"/>
  <c r="V508" i="1"/>
  <c r="U508" i="1"/>
  <c r="V507" i="1"/>
  <c r="U507" i="1"/>
  <c r="V506" i="1"/>
  <c r="U506" i="1"/>
  <c r="V505" i="1"/>
  <c r="U505" i="1"/>
  <c r="V504" i="1"/>
  <c r="U504" i="1"/>
  <c r="V503" i="1"/>
  <c r="U503" i="1"/>
  <c r="V502" i="1"/>
  <c r="U502" i="1"/>
  <c r="V500" i="1"/>
  <c r="U500" i="1"/>
  <c r="V496" i="1"/>
  <c r="U496" i="1"/>
  <c r="V495" i="1"/>
  <c r="U495" i="1"/>
  <c r="V494" i="1"/>
  <c r="U494" i="1"/>
  <c r="V492" i="1"/>
  <c r="U492" i="1"/>
  <c r="V491" i="1"/>
  <c r="U491" i="1"/>
  <c r="V490" i="1"/>
  <c r="U490" i="1"/>
  <c r="V488" i="1"/>
  <c r="U488" i="1"/>
  <c r="V486" i="1"/>
  <c r="U486" i="1"/>
  <c r="V484" i="1"/>
  <c r="U484" i="1"/>
  <c r="V482" i="1"/>
  <c r="U482" i="1"/>
  <c r="V480" i="1"/>
  <c r="U480" i="1"/>
  <c r="V478" i="1"/>
  <c r="U478" i="1"/>
  <c r="V476" i="1"/>
  <c r="U476" i="1"/>
  <c r="V474" i="1"/>
  <c r="U474" i="1"/>
  <c r="V472" i="1"/>
  <c r="U472" i="1"/>
  <c r="V471" i="1"/>
  <c r="U471" i="1"/>
  <c r="V469" i="1"/>
  <c r="U469" i="1"/>
  <c r="V467" i="1"/>
  <c r="U467" i="1"/>
  <c r="V465" i="1"/>
  <c r="U465" i="1"/>
  <c r="V464" i="1"/>
  <c r="U464" i="1"/>
  <c r="V463" i="1"/>
  <c r="U463" i="1"/>
  <c r="V462" i="1"/>
  <c r="U462" i="1"/>
  <c r="V460" i="1"/>
  <c r="U460" i="1"/>
  <c r="V459" i="1"/>
  <c r="U459" i="1"/>
  <c r="V458" i="1"/>
  <c r="U458" i="1"/>
  <c r="V457" i="1"/>
  <c r="U457" i="1"/>
  <c r="V456" i="1"/>
  <c r="U456" i="1"/>
  <c r="V455" i="1"/>
  <c r="U455" i="1"/>
  <c r="V454" i="1"/>
  <c r="U454" i="1"/>
  <c r="V453" i="1"/>
  <c r="U453" i="1"/>
  <c r="V452" i="1"/>
  <c r="U452" i="1"/>
  <c r="V451" i="1"/>
  <c r="U451" i="1"/>
  <c r="V450" i="1"/>
  <c r="U450" i="1"/>
  <c r="V449" i="1"/>
  <c r="U449" i="1"/>
  <c r="V448" i="1"/>
  <c r="U448" i="1"/>
  <c r="V447" i="1"/>
  <c r="U447" i="1"/>
  <c r="V445" i="1"/>
  <c r="U445" i="1"/>
  <c r="V443" i="1"/>
  <c r="U443" i="1"/>
  <c r="V442" i="1"/>
  <c r="U442" i="1"/>
  <c r="V441" i="1"/>
  <c r="U441" i="1"/>
  <c r="V439" i="1"/>
  <c r="U439" i="1"/>
  <c r="V438" i="1"/>
  <c r="U438" i="1"/>
  <c r="V436" i="1"/>
  <c r="U436" i="1"/>
  <c r="V433" i="1"/>
  <c r="U433" i="1"/>
  <c r="V432" i="1"/>
  <c r="U432" i="1"/>
  <c r="V430" i="1"/>
  <c r="U430" i="1"/>
  <c r="V428" i="1"/>
  <c r="U428" i="1"/>
  <c r="V425" i="1"/>
  <c r="U425" i="1"/>
  <c r="V424" i="1"/>
  <c r="U424" i="1"/>
  <c r="V423" i="1"/>
  <c r="U423" i="1"/>
  <c r="V422" i="1"/>
  <c r="U422" i="1"/>
  <c r="V421" i="1"/>
  <c r="U421" i="1"/>
  <c r="V418" i="1"/>
  <c r="U418" i="1"/>
  <c r="V417" i="1"/>
  <c r="U417" i="1"/>
  <c r="V416" i="1"/>
  <c r="U416" i="1"/>
  <c r="V415" i="1"/>
  <c r="U415" i="1"/>
  <c r="V414" i="1"/>
  <c r="U414" i="1"/>
  <c r="V413" i="1"/>
  <c r="U413" i="1"/>
  <c r="V412" i="1"/>
  <c r="U412" i="1"/>
  <c r="V410" i="1"/>
  <c r="U410" i="1"/>
  <c r="V407" i="1"/>
  <c r="U407" i="1"/>
  <c r="V405" i="1"/>
  <c r="U405" i="1"/>
  <c r="V401" i="1"/>
  <c r="U401" i="1"/>
  <c r="V400" i="1"/>
  <c r="U400" i="1"/>
  <c r="V399" i="1"/>
  <c r="U399" i="1"/>
  <c r="V398" i="1"/>
  <c r="U398" i="1"/>
  <c r="V397" i="1"/>
  <c r="U397" i="1"/>
  <c r="V394" i="1"/>
  <c r="U394" i="1"/>
  <c r="V391" i="1"/>
  <c r="U391" i="1"/>
  <c r="V387" i="1"/>
  <c r="U387" i="1"/>
  <c r="V386" i="1"/>
  <c r="U386" i="1"/>
  <c r="V383" i="1"/>
  <c r="U383" i="1"/>
  <c r="V381" i="1"/>
  <c r="U381" i="1"/>
  <c r="V379" i="1"/>
  <c r="U379" i="1"/>
  <c r="V376" i="1"/>
  <c r="U376" i="1"/>
  <c r="V375" i="1"/>
  <c r="U375" i="1"/>
  <c r="V374" i="1"/>
  <c r="U374" i="1"/>
  <c r="V371" i="1"/>
  <c r="U371" i="1"/>
  <c r="V370" i="1"/>
  <c r="U370" i="1"/>
  <c r="V368" i="1"/>
  <c r="U368" i="1"/>
  <c r="V366" i="1"/>
  <c r="U366" i="1"/>
  <c r="V364" i="1"/>
  <c r="U364" i="1"/>
  <c r="V362" i="1"/>
  <c r="U362" i="1"/>
  <c r="V360" i="1"/>
  <c r="U360" i="1"/>
  <c r="V357" i="1"/>
  <c r="U357" i="1"/>
  <c r="V356" i="1"/>
  <c r="U356" i="1"/>
  <c r="V355" i="1"/>
  <c r="U355" i="1"/>
  <c r="V354" i="1"/>
  <c r="U354" i="1"/>
  <c r="V353" i="1"/>
  <c r="U353" i="1"/>
  <c r="V352" i="1"/>
  <c r="U352" i="1"/>
  <c r="V350" i="1"/>
  <c r="U350" i="1"/>
  <c r="V348" i="1"/>
  <c r="U348" i="1"/>
  <c r="V346" i="1"/>
  <c r="U346" i="1"/>
  <c r="V344" i="1"/>
  <c r="U344" i="1"/>
  <c r="V342" i="1"/>
  <c r="U342" i="1"/>
  <c r="V340" i="1"/>
  <c r="U340" i="1"/>
  <c r="V338" i="1"/>
  <c r="U338" i="1"/>
  <c r="V336" i="1"/>
  <c r="U336" i="1"/>
  <c r="V334" i="1"/>
  <c r="U334" i="1"/>
  <c r="V332" i="1"/>
  <c r="U332" i="1"/>
  <c r="V328" i="1"/>
  <c r="U328" i="1"/>
  <c r="V327" i="1"/>
  <c r="U327" i="1"/>
  <c r="V326" i="1"/>
  <c r="U326" i="1"/>
  <c r="V325" i="1"/>
  <c r="U325" i="1"/>
  <c r="V324" i="1"/>
  <c r="U324" i="1"/>
  <c r="V322" i="1"/>
  <c r="U322" i="1"/>
  <c r="V321" i="1"/>
  <c r="U321" i="1"/>
  <c r="V319" i="1"/>
  <c r="U319" i="1"/>
  <c r="V318" i="1"/>
  <c r="U318" i="1"/>
  <c r="V317" i="1"/>
  <c r="U317" i="1"/>
  <c r="V316" i="1"/>
  <c r="U316" i="1"/>
  <c r="V315" i="1"/>
  <c r="U315" i="1"/>
  <c r="V314" i="1"/>
  <c r="U314" i="1"/>
  <c r="V313" i="1"/>
  <c r="U313" i="1"/>
  <c r="V312" i="1"/>
  <c r="U312" i="1"/>
  <c r="V311" i="1"/>
  <c r="U311" i="1"/>
  <c r="V310" i="1"/>
  <c r="U310" i="1"/>
  <c r="V309" i="1"/>
  <c r="U309" i="1"/>
  <c r="V308" i="1"/>
  <c r="U308" i="1"/>
  <c r="V307" i="1"/>
  <c r="U307" i="1"/>
  <c r="V306" i="1"/>
  <c r="U306" i="1"/>
  <c r="V305" i="1"/>
  <c r="U305" i="1"/>
  <c r="V304" i="1"/>
  <c r="U304" i="1"/>
  <c r="V302" i="1"/>
  <c r="U302" i="1"/>
  <c r="V300" i="1"/>
  <c r="U300" i="1"/>
  <c r="V298" i="1"/>
  <c r="U298" i="1"/>
  <c r="V297" i="1"/>
  <c r="U297" i="1"/>
  <c r="V296" i="1"/>
  <c r="U296" i="1"/>
  <c r="V295" i="1"/>
  <c r="U295" i="1"/>
  <c r="V294" i="1"/>
  <c r="U294" i="1"/>
  <c r="V293" i="1"/>
  <c r="U293" i="1"/>
  <c r="V292" i="1"/>
  <c r="U292" i="1"/>
  <c r="V291" i="1"/>
  <c r="U291" i="1"/>
  <c r="V290" i="1"/>
  <c r="U290" i="1"/>
  <c r="V289" i="1"/>
  <c r="U289" i="1"/>
  <c r="V288" i="1"/>
  <c r="U288" i="1"/>
  <c r="V287" i="1"/>
  <c r="U287" i="1"/>
  <c r="V285" i="1"/>
  <c r="U285" i="1"/>
  <c r="V284" i="1"/>
  <c r="U284" i="1"/>
  <c r="V283" i="1"/>
  <c r="U283" i="1"/>
  <c r="V281" i="1"/>
  <c r="U281" i="1"/>
  <c r="V280" i="1"/>
  <c r="U280" i="1"/>
  <c r="V279" i="1"/>
  <c r="U279" i="1"/>
  <c r="V278" i="1"/>
  <c r="U278" i="1"/>
  <c r="V277" i="1"/>
  <c r="U277" i="1"/>
  <c r="V276" i="1"/>
  <c r="U276" i="1"/>
  <c r="V275" i="1"/>
  <c r="U275" i="1"/>
  <c r="V274" i="1"/>
  <c r="U274" i="1"/>
  <c r="V272" i="1"/>
  <c r="U272" i="1"/>
  <c r="V270" i="1"/>
  <c r="U270" i="1"/>
  <c r="V269" i="1"/>
  <c r="U269" i="1"/>
  <c r="V268" i="1"/>
  <c r="U268" i="1"/>
  <c r="V267" i="1"/>
  <c r="U267" i="1"/>
  <c r="V266" i="1"/>
  <c r="U266" i="1"/>
  <c r="V264" i="1"/>
  <c r="U264" i="1"/>
  <c r="V263" i="1"/>
  <c r="U263" i="1"/>
  <c r="V262" i="1"/>
  <c r="U262" i="1"/>
  <c r="V260" i="1"/>
  <c r="U260" i="1"/>
  <c r="V258" i="1"/>
  <c r="U258" i="1"/>
  <c r="V255" i="1"/>
  <c r="U255" i="1"/>
  <c r="V254" i="1"/>
  <c r="U254" i="1"/>
  <c r="V251" i="1"/>
  <c r="U251" i="1"/>
  <c r="V249" i="1"/>
  <c r="U249" i="1"/>
  <c r="V248" i="1"/>
  <c r="U248" i="1"/>
  <c r="V246" i="1"/>
  <c r="U246" i="1"/>
  <c r="V244" i="1"/>
  <c r="U244" i="1"/>
  <c r="V243" i="1"/>
  <c r="U243" i="1"/>
  <c r="V240" i="1"/>
  <c r="U240" i="1"/>
  <c r="V239" i="1"/>
  <c r="U239" i="1"/>
  <c r="V237" i="1"/>
  <c r="U237" i="1"/>
  <c r="V236" i="1"/>
  <c r="U236" i="1"/>
  <c r="V235" i="1"/>
  <c r="U235" i="1"/>
  <c r="V234" i="1"/>
  <c r="U234" i="1"/>
  <c r="V233" i="1"/>
  <c r="U233" i="1"/>
  <c r="V232" i="1"/>
  <c r="U232" i="1"/>
  <c r="V231" i="1"/>
  <c r="U231" i="1"/>
  <c r="V230" i="1"/>
  <c r="U230" i="1"/>
  <c r="V229" i="1"/>
  <c r="U229" i="1"/>
  <c r="V228" i="1"/>
  <c r="U228" i="1"/>
  <c r="V227" i="1"/>
  <c r="U227" i="1"/>
  <c r="V226" i="1"/>
  <c r="U226" i="1"/>
  <c r="V225" i="1"/>
  <c r="U225" i="1"/>
  <c r="V223" i="1"/>
  <c r="U223" i="1"/>
  <c r="V219" i="1"/>
  <c r="U219" i="1"/>
  <c r="V217" i="1"/>
  <c r="U217" i="1"/>
  <c r="V216" i="1"/>
  <c r="U216" i="1"/>
  <c r="V215" i="1"/>
  <c r="U215" i="1"/>
  <c r="V213" i="1"/>
  <c r="U213" i="1"/>
  <c r="V212" i="1"/>
  <c r="U212" i="1"/>
  <c r="V211" i="1"/>
  <c r="U211" i="1"/>
  <c r="V210" i="1"/>
  <c r="U210" i="1"/>
  <c r="V207" i="1"/>
  <c r="U207" i="1"/>
  <c r="V206" i="1"/>
  <c r="U206" i="1"/>
  <c r="V205" i="1"/>
  <c r="U205" i="1"/>
  <c r="V204" i="1"/>
  <c r="U204" i="1"/>
  <c r="V203" i="1"/>
  <c r="U203" i="1"/>
  <c r="V202" i="1"/>
  <c r="U202" i="1"/>
  <c r="V201" i="1"/>
  <c r="U201" i="1"/>
  <c r="V200" i="1"/>
  <c r="U200" i="1"/>
  <c r="V199" i="1"/>
  <c r="U199" i="1"/>
  <c r="V198" i="1"/>
  <c r="U198" i="1"/>
  <c r="V197" i="1"/>
  <c r="U197" i="1"/>
  <c r="V196" i="1"/>
  <c r="U196" i="1"/>
  <c r="V195" i="1"/>
  <c r="U195" i="1"/>
  <c r="V194" i="1"/>
  <c r="U194" i="1"/>
  <c r="V193" i="1"/>
  <c r="U193" i="1"/>
  <c r="V192" i="1"/>
  <c r="U192" i="1"/>
  <c r="V191" i="1"/>
  <c r="U191" i="1"/>
  <c r="V190" i="1"/>
  <c r="U190" i="1"/>
  <c r="V188" i="1"/>
  <c r="U188" i="1"/>
  <c r="V186" i="1"/>
  <c r="U186" i="1"/>
  <c r="V185" i="1"/>
  <c r="U185" i="1"/>
  <c r="V184" i="1"/>
  <c r="U184" i="1"/>
  <c r="V181" i="1"/>
  <c r="U181" i="1"/>
  <c r="V180" i="1"/>
  <c r="U180" i="1"/>
  <c r="V179" i="1"/>
  <c r="U179" i="1"/>
  <c r="V178" i="1"/>
  <c r="U178" i="1"/>
  <c r="V176" i="1"/>
  <c r="U176" i="1"/>
  <c r="V175" i="1"/>
  <c r="U175" i="1"/>
  <c r="V174" i="1"/>
  <c r="U174" i="1"/>
  <c r="V173" i="1"/>
  <c r="U173" i="1"/>
  <c r="V171" i="1"/>
  <c r="U171" i="1"/>
  <c r="V168" i="1"/>
  <c r="U168" i="1"/>
  <c r="V167" i="1"/>
  <c r="U167" i="1"/>
  <c r="V165" i="1"/>
  <c r="U165" i="1"/>
  <c r="V163" i="1"/>
  <c r="U163" i="1"/>
  <c r="V162" i="1"/>
  <c r="U162" i="1"/>
  <c r="V161" i="1"/>
  <c r="U161" i="1"/>
  <c r="V160" i="1"/>
  <c r="U160" i="1"/>
  <c r="V159" i="1"/>
  <c r="U159" i="1"/>
  <c r="V158" i="1"/>
  <c r="U158" i="1"/>
  <c r="V156" i="1"/>
  <c r="U156" i="1"/>
  <c r="V154" i="1"/>
  <c r="U154" i="1"/>
  <c r="V153" i="1"/>
  <c r="U153" i="1"/>
  <c r="V152" i="1"/>
  <c r="U152" i="1"/>
  <c r="V150" i="1"/>
  <c r="U150" i="1"/>
  <c r="V148" i="1"/>
  <c r="U148" i="1"/>
  <c r="V147" i="1"/>
  <c r="U147" i="1"/>
  <c r="V146" i="1"/>
  <c r="U146" i="1"/>
  <c r="V145" i="1"/>
  <c r="U145" i="1"/>
  <c r="V144" i="1"/>
  <c r="U144" i="1"/>
  <c r="V143" i="1"/>
  <c r="U143" i="1"/>
  <c r="V142" i="1"/>
  <c r="U142" i="1"/>
  <c r="V141" i="1"/>
  <c r="U141" i="1"/>
  <c r="V140" i="1"/>
  <c r="U140" i="1"/>
  <c r="V138" i="1"/>
  <c r="U138" i="1"/>
  <c r="V137" i="1"/>
  <c r="U137" i="1"/>
  <c r="V136" i="1"/>
  <c r="U136" i="1"/>
  <c r="V135" i="1"/>
  <c r="U135" i="1"/>
  <c r="V134" i="1"/>
  <c r="U134" i="1"/>
  <c r="V133" i="1"/>
  <c r="U133" i="1"/>
  <c r="V132" i="1"/>
  <c r="U132" i="1"/>
  <c r="V131" i="1"/>
  <c r="U131" i="1"/>
  <c r="V130" i="1"/>
  <c r="U130" i="1"/>
  <c r="V128" i="1"/>
  <c r="U128" i="1"/>
  <c r="V127" i="1"/>
  <c r="U127" i="1"/>
  <c r="V126" i="1"/>
  <c r="U126" i="1"/>
  <c r="V125" i="1"/>
  <c r="U125" i="1"/>
  <c r="V124" i="1"/>
  <c r="U124" i="1"/>
  <c r="V123" i="1"/>
  <c r="U123" i="1"/>
  <c r="V122" i="1"/>
  <c r="U122" i="1"/>
  <c r="V121" i="1"/>
  <c r="U121" i="1"/>
  <c r="V120" i="1"/>
  <c r="U120" i="1"/>
  <c r="V119" i="1"/>
  <c r="U119" i="1"/>
  <c r="V118" i="1"/>
  <c r="U118" i="1"/>
  <c r="V117" i="1"/>
  <c r="U117" i="1"/>
  <c r="V116" i="1"/>
  <c r="U116" i="1"/>
  <c r="V115" i="1"/>
  <c r="U115" i="1"/>
  <c r="V114" i="1"/>
  <c r="U114" i="1"/>
  <c r="V113" i="1"/>
  <c r="U113" i="1"/>
  <c r="V112" i="1"/>
  <c r="U112" i="1"/>
  <c r="V111" i="1"/>
  <c r="U111" i="1"/>
  <c r="V110" i="1"/>
  <c r="U110" i="1"/>
  <c r="V109" i="1"/>
  <c r="U109" i="1"/>
  <c r="V107" i="1"/>
  <c r="U107" i="1"/>
  <c r="V106" i="1"/>
  <c r="U106" i="1"/>
  <c r="V105" i="1"/>
  <c r="U105" i="1"/>
  <c r="V104" i="1"/>
  <c r="U104" i="1"/>
  <c r="V103" i="1"/>
  <c r="U103" i="1"/>
  <c r="V102" i="1"/>
  <c r="U102" i="1"/>
  <c r="V101" i="1"/>
  <c r="U101" i="1"/>
  <c r="V100" i="1"/>
  <c r="U100" i="1"/>
  <c r="V99" i="1"/>
  <c r="U99" i="1"/>
  <c r="V98" i="1"/>
  <c r="U98" i="1"/>
  <c r="V96" i="1"/>
  <c r="U96" i="1"/>
  <c r="V95" i="1"/>
  <c r="U95" i="1"/>
  <c r="V94" i="1"/>
  <c r="U94" i="1"/>
  <c r="V93" i="1"/>
  <c r="U93" i="1"/>
  <c r="V92" i="1"/>
  <c r="U92" i="1"/>
  <c r="V91" i="1"/>
  <c r="U91" i="1"/>
  <c r="V90" i="1"/>
  <c r="U90" i="1"/>
  <c r="V89" i="1"/>
  <c r="U89" i="1"/>
  <c r="V88" i="1"/>
  <c r="U88" i="1"/>
  <c r="V87" i="1"/>
  <c r="U87" i="1"/>
  <c r="V86" i="1"/>
  <c r="U86" i="1"/>
  <c r="V85" i="1"/>
  <c r="U85" i="1"/>
  <c r="V84" i="1"/>
  <c r="U84" i="1"/>
  <c r="V83" i="1"/>
  <c r="U83" i="1"/>
  <c r="V82" i="1"/>
  <c r="U82" i="1"/>
  <c r="V81" i="1"/>
  <c r="U81" i="1"/>
  <c r="V80" i="1"/>
  <c r="U80" i="1"/>
  <c r="V79" i="1"/>
  <c r="U79" i="1"/>
  <c r="V78" i="1"/>
  <c r="U78" i="1"/>
  <c r="V77" i="1"/>
  <c r="U77" i="1"/>
  <c r="V76" i="1"/>
  <c r="U76" i="1"/>
  <c r="V75" i="1"/>
  <c r="U75" i="1"/>
  <c r="V74" i="1"/>
  <c r="U74" i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6" i="1"/>
  <c r="U46" i="1"/>
  <c r="V45" i="1"/>
  <c r="U45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4" i="1"/>
  <c r="U24" i="1"/>
  <c r="V23" i="1"/>
  <c r="U23" i="1"/>
  <c r="V22" i="1"/>
  <c r="U22" i="1"/>
  <c r="V21" i="1"/>
  <c r="U21" i="1"/>
  <c r="V19" i="1"/>
  <c r="U19" i="1"/>
  <c r="V17" i="1"/>
  <c r="U17" i="1"/>
  <c r="V15" i="1"/>
  <c r="U15" i="1"/>
  <c r="S617" i="1"/>
  <c r="S616" i="1"/>
  <c r="S615" i="1"/>
  <c r="S614" i="1"/>
  <c r="S613" i="1"/>
  <c r="S612" i="1"/>
  <c r="S611" i="1"/>
  <c r="S610" i="1"/>
  <c r="S609" i="1"/>
  <c r="S608" i="1"/>
  <c r="S607" i="1"/>
  <c r="S603" i="1"/>
  <c r="S602" i="1"/>
  <c r="S601" i="1"/>
  <c r="S600" i="1"/>
  <c r="S599" i="1"/>
  <c r="S598" i="1"/>
  <c r="S597" i="1"/>
  <c r="S596" i="1"/>
  <c r="S595" i="1"/>
  <c r="S593" i="1"/>
  <c r="S592" i="1"/>
  <c r="S590" i="1"/>
  <c r="S589" i="1"/>
  <c r="S588" i="1"/>
  <c r="S587" i="1"/>
  <c r="S586" i="1"/>
  <c r="S583" i="1"/>
  <c r="S581" i="1"/>
  <c r="S579" i="1"/>
  <c r="S576" i="1"/>
  <c r="S571" i="1"/>
  <c r="S569" i="1"/>
  <c r="S566" i="1"/>
  <c r="S562" i="1"/>
  <c r="S560" i="1"/>
  <c r="S559" i="1"/>
  <c r="S556" i="1"/>
  <c r="S555" i="1"/>
  <c r="S554" i="1"/>
  <c r="S552" i="1"/>
  <c r="S551" i="1"/>
  <c r="S549" i="1"/>
  <c r="S547" i="1"/>
  <c r="S546" i="1"/>
  <c r="S545" i="1"/>
  <c r="S542" i="1"/>
  <c r="S541" i="1"/>
  <c r="S540" i="1"/>
  <c r="S539" i="1"/>
  <c r="S538" i="1"/>
  <c r="S537" i="1"/>
  <c r="S536" i="1"/>
  <c r="S534" i="1"/>
  <c r="S533" i="1"/>
  <c r="S532" i="1"/>
  <c r="S529" i="1"/>
  <c r="S526" i="1"/>
  <c r="S524" i="1"/>
  <c r="S518" i="1"/>
  <c r="S517" i="1"/>
  <c r="S515" i="1"/>
  <c r="S513" i="1"/>
  <c r="S512" i="1"/>
  <c r="S511" i="1"/>
  <c r="S510" i="1"/>
  <c r="S506" i="1"/>
  <c r="S502" i="1"/>
  <c r="S500" i="1"/>
  <c r="S496" i="1"/>
  <c r="S495" i="1"/>
  <c r="S494" i="1"/>
  <c r="S492" i="1"/>
  <c r="S491" i="1"/>
  <c r="S490" i="1"/>
  <c r="S488" i="1"/>
  <c r="S486" i="1"/>
  <c r="S484" i="1"/>
  <c r="S482" i="1"/>
  <c r="S480" i="1"/>
  <c r="S478" i="1"/>
  <c r="S476" i="1"/>
  <c r="S474" i="1"/>
  <c r="S472" i="1"/>
  <c r="S471" i="1"/>
  <c r="S469" i="1"/>
  <c r="S467" i="1"/>
  <c r="S465" i="1"/>
  <c r="S464" i="1"/>
  <c r="S463" i="1"/>
  <c r="S462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5" i="1"/>
  <c r="S443" i="1"/>
  <c r="S442" i="1"/>
  <c r="S441" i="1"/>
  <c r="S439" i="1"/>
  <c r="S438" i="1"/>
  <c r="S436" i="1"/>
  <c r="S432" i="1"/>
  <c r="S430" i="1"/>
  <c r="S428" i="1"/>
  <c r="S423" i="1"/>
  <c r="S422" i="1"/>
  <c r="S421" i="1"/>
  <c r="S417" i="1"/>
  <c r="S416" i="1"/>
  <c r="S415" i="1"/>
  <c r="S414" i="1"/>
  <c r="S413" i="1"/>
  <c r="S412" i="1"/>
  <c r="S410" i="1"/>
  <c r="S407" i="1"/>
  <c r="S405" i="1"/>
  <c r="S401" i="1"/>
  <c r="S400" i="1"/>
  <c r="S399" i="1"/>
  <c r="S398" i="1"/>
  <c r="S397" i="1"/>
  <c r="S394" i="1"/>
  <c r="S391" i="1"/>
  <c r="S387" i="1"/>
  <c r="S386" i="1"/>
  <c r="S383" i="1"/>
  <c r="S381" i="1"/>
  <c r="S379" i="1"/>
  <c r="S375" i="1"/>
  <c r="S374" i="1"/>
  <c r="S371" i="1"/>
  <c r="S370" i="1"/>
  <c r="S368" i="1"/>
  <c r="S366" i="1"/>
  <c r="S364" i="1"/>
  <c r="S362" i="1"/>
  <c r="S360" i="1"/>
  <c r="S355" i="1"/>
  <c r="S354" i="1"/>
  <c r="S353" i="1"/>
  <c r="S352" i="1"/>
  <c r="S350" i="1"/>
  <c r="S348" i="1"/>
  <c r="S346" i="1"/>
  <c r="S344" i="1"/>
  <c r="S342" i="1"/>
  <c r="S340" i="1"/>
  <c r="S338" i="1"/>
  <c r="S336" i="1"/>
  <c r="S334" i="1"/>
  <c r="S332" i="1"/>
  <c r="S328" i="1"/>
  <c r="S327" i="1"/>
  <c r="S326" i="1"/>
  <c r="S325" i="1"/>
  <c r="S324" i="1"/>
  <c r="S322" i="1"/>
  <c r="S321" i="1"/>
  <c r="S319" i="1"/>
  <c r="S318" i="1"/>
  <c r="S314" i="1"/>
  <c r="S313" i="1"/>
  <c r="S310" i="1"/>
  <c r="S309" i="1"/>
  <c r="S308" i="1"/>
  <c r="S305" i="1"/>
  <c r="S302" i="1"/>
  <c r="S300" i="1"/>
  <c r="S298" i="1"/>
  <c r="S297" i="1"/>
  <c r="S296" i="1"/>
  <c r="S294" i="1"/>
  <c r="S293" i="1"/>
  <c r="S292" i="1"/>
  <c r="S291" i="1"/>
  <c r="S290" i="1"/>
  <c r="S289" i="1"/>
  <c r="S287" i="1"/>
  <c r="S285" i="1"/>
  <c r="S283" i="1"/>
  <c r="S281" i="1"/>
  <c r="S280" i="1"/>
  <c r="S278" i="1"/>
  <c r="S276" i="1"/>
  <c r="S275" i="1"/>
  <c r="S274" i="1"/>
  <c r="S272" i="1"/>
  <c r="S270" i="1"/>
  <c r="S269" i="1"/>
  <c r="S268" i="1"/>
  <c r="S267" i="1"/>
  <c r="S264" i="1"/>
  <c r="S263" i="1"/>
  <c r="S262" i="1"/>
  <c r="S260" i="1"/>
  <c r="S258" i="1"/>
  <c r="S255" i="1"/>
  <c r="S254" i="1"/>
  <c r="S251" i="1"/>
  <c r="S249" i="1"/>
  <c r="S246" i="1"/>
  <c r="S244" i="1"/>
  <c r="S243" i="1"/>
  <c r="S240" i="1"/>
  <c r="S239" i="1"/>
  <c r="S236" i="1"/>
  <c r="S235" i="1"/>
  <c r="S234" i="1"/>
  <c r="S233" i="1"/>
  <c r="S232" i="1"/>
  <c r="S230" i="1"/>
  <c r="S227" i="1"/>
  <c r="S226" i="1"/>
  <c r="S225" i="1"/>
  <c r="S223" i="1"/>
  <c r="S219" i="1"/>
  <c r="S217" i="1"/>
  <c r="S216" i="1"/>
  <c r="S215" i="1"/>
  <c r="S213" i="1"/>
  <c r="S212" i="1"/>
  <c r="S211" i="1"/>
  <c r="S210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8" i="1"/>
  <c r="S186" i="1"/>
  <c r="S185" i="1"/>
  <c r="S184" i="1"/>
  <c r="S180" i="1"/>
  <c r="S179" i="1"/>
  <c r="S178" i="1"/>
  <c r="S176" i="1"/>
  <c r="S174" i="1"/>
  <c r="S171" i="1"/>
  <c r="S168" i="1"/>
  <c r="S167" i="1"/>
  <c r="S165" i="1"/>
  <c r="S163" i="1"/>
  <c r="S162" i="1"/>
  <c r="S161" i="1"/>
  <c r="S160" i="1"/>
  <c r="S159" i="1"/>
  <c r="S158" i="1"/>
  <c r="S156" i="1"/>
  <c r="S154" i="1"/>
  <c r="S153" i="1"/>
  <c r="S152" i="1"/>
  <c r="S150" i="1"/>
  <c r="S145" i="1"/>
  <c r="S144" i="1"/>
  <c r="S143" i="1"/>
  <c r="S142" i="1"/>
  <c r="S141" i="1"/>
  <c r="S140" i="1"/>
  <c r="S138" i="1"/>
  <c r="S137" i="1"/>
  <c r="S136" i="1"/>
  <c r="S135" i="1"/>
  <c r="S134" i="1"/>
  <c r="S132" i="1"/>
  <c r="S131" i="1"/>
  <c r="S130" i="1"/>
  <c r="S128" i="1"/>
  <c r="S127" i="1"/>
  <c r="S126" i="1"/>
  <c r="S125" i="1"/>
  <c r="S124" i="1"/>
  <c r="S123" i="1"/>
  <c r="S122" i="1"/>
  <c r="S121" i="1"/>
  <c r="S119" i="1"/>
  <c r="S118" i="1"/>
  <c r="S117" i="1"/>
  <c r="S116" i="1"/>
  <c r="S115" i="1"/>
  <c r="S114" i="1"/>
  <c r="S112" i="1"/>
  <c r="S111" i="1"/>
  <c r="S110" i="1"/>
  <c r="S109" i="1"/>
  <c r="S107" i="1"/>
  <c r="S106" i="1"/>
  <c r="S105" i="1"/>
  <c r="S103" i="1"/>
  <c r="S102" i="1"/>
  <c r="S101" i="1"/>
  <c r="S100" i="1"/>
  <c r="S98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6" i="1"/>
  <c r="S45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4" i="1"/>
  <c r="S23" i="1"/>
  <c r="S22" i="1"/>
  <c r="S21" i="1"/>
  <c r="S19" i="1"/>
  <c r="S17" i="1"/>
  <c r="S15" i="1"/>
  <c r="K816" i="1"/>
  <c r="K760" i="1"/>
  <c r="K747" i="1"/>
  <c r="S747" i="1" s="1"/>
  <c r="K748" i="1"/>
  <c r="K737" i="1"/>
  <c r="K622" i="1"/>
  <c r="U747" i="1" l="1"/>
  <c r="V747" i="1"/>
  <c r="V748" i="1"/>
  <c r="U748" i="1"/>
  <c r="S748" i="1"/>
  <c r="L563" i="1"/>
  <c r="P563" i="1"/>
  <c r="R563" i="1"/>
  <c r="T563" i="1"/>
  <c r="W563" i="1"/>
  <c r="O563" i="1" l="1"/>
  <c r="S563" i="1"/>
  <c r="Q563" i="1"/>
  <c r="Q38" i="7"/>
  <c r="Q37" i="7"/>
  <c r="L47" i="1" l="1"/>
  <c r="B12" i="1" l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11" i="1"/>
  <c r="H22" i="5" l="1"/>
  <c r="D11" i="7" l="1"/>
  <c r="N8" i="1"/>
  <c r="H20" i="5" s="1"/>
  <c r="D12" i="7" l="1"/>
  <c r="L665" i="1"/>
  <c r="S665" i="1" s="1"/>
  <c r="H17" i="5" l="1"/>
  <c r="H15" i="5" l="1"/>
  <c r="L306" i="1" l="1"/>
  <c r="S306" i="1" s="1"/>
  <c r="L148" i="1" l="1"/>
  <c r="S148" i="1" s="1"/>
  <c r="L147" i="1"/>
  <c r="S147" i="1" s="1"/>
  <c r="L146" i="1"/>
  <c r="S146" i="1" s="1"/>
  <c r="L99" i="1" l="1"/>
  <c r="S99" i="1" s="1"/>
  <c r="H31" i="5" l="1"/>
  <c r="L317" i="1" l="1"/>
  <c r="S317" i="1" s="1"/>
  <c r="I23" i="4" l="1"/>
  <c r="I30" i="4"/>
  <c r="L763" i="1" l="1"/>
  <c r="S763" i="1" s="1"/>
  <c r="L288" i="1" l="1"/>
  <c r="S288" i="1" s="1"/>
  <c r="L741" i="1" l="1"/>
  <c r="S741" i="1" s="1"/>
  <c r="L764" i="1" l="1"/>
  <c r="S764" i="1" s="1"/>
  <c r="L104" i="1"/>
  <c r="S104" i="1" s="1"/>
  <c r="L749" i="1"/>
  <c r="S749" i="1" s="1"/>
  <c r="L284" i="1" l="1"/>
  <c r="S284" i="1" s="1"/>
  <c r="L315" i="1"/>
  <c r="S315" i="1" s="1"/>
  <c r="L531" i="1" l="1"/>
  <c r="S531" i="1" s="1"/>
  <c r="L228" i="1" l="1"/>
  <c r="S228" i="1" s="1"/>
  <c r="L175" i="1"/>
  <c r="S175" i="1" s="1"/>
  <c r="L550" i="1" l="1"/>
  <c r="S550" i="1" s="1"/>
  <c r="L279" i="1"/>
  <c r="S279" i="1" s="1"/>
  <c r="L277" i="1"/>
  <c r="S277" i="1" s="1"/>
  <c r="L237" i="1"/>
  <c r="S237" i="1" s="1"/>
  <c r="L295" i="1"/>
  <c r="S295" i="1" s="1"/>
  <c r="L229" i="1"/>
  <c r="S229" i="1" s="1"/>
  <c r="L173" i="1"/>
  <c r="S173" i="1" s="1"/>
  <c r="L231" i="1"/>
  <c r="S231" i="1" s="1"/>
  <c r="L312" i="1" l="1"/>
  <c r="S312" i="1" s="1"/>
  <c r="M666" i="1"/>
  <c r="L504" i="1" l="1"/>
  <c r="S504" i="1" s="1"/>
  <c r="I31" i="4" l="1"/>
  <c r="I24" i="4"/>
  <c r="G17" i="4"/>
  <c r="G4" i="4" l="1"/>
  <c r="G6" i="4" s="1"/>
  <c r="K380" i="1"/>
  <c r="K363" i="1"/>
  <c r="K361" i="1"/>
  <c r="K320" i="1"/>
  <c r="K303" i="1"/>
  <c r="K301" i="1"/>
  <c r="K299" i="1"/>
  <c r="K286" i="1"/>
  <c r="K282" i="1"/>
  <c r="K273" i="1"/>
  <c r="K271" i="1"/>
  <c r="K265" i="1"/>
  <c r="K224" i="1"/>
  <c r="K214" i="1"/>
  <c r="K209" i="1"/>
  <c r="K189" i="1"/>
  <c r="K151" i="1"/>
  <c r="K149" i="1"/>
  <c r="K139" i="1"/>
  <c r="K129" i="1"/>
  <c r="K108" i="1"/>
  <c r="K97" i="1"/>
  <c r="K47" i="1"/>
  <c r="K44" i="1"/>
  <c r="S47" i="1" l="1"/>
  <c r="J6" i="4"/>
  <c r="I6" i="4"/>
  <c r="H6" i="4"/>
  <c r="G15" i="4" l="1"/>
  <c r="G14" i="4"/>
  <c r="J14" i="4"/>
  <c r="J15" i="4"/>
  <c r="L120" i="1"/>
  <c r="S120" i="1" s="1"/>
  <c r="L266" i="1"/>
  <c r="S266" i="1" s="1"/>
  <c r="L544" i="1" l="1"/>
  <c r="S544" i="1" s="1"/>
  <c r="L558" i="1"/>
  <c r="S558" i="1" s="1"/>
  <c r="L311" i="1"/>
  <c r="S311" i="1" s="1"/>
  <c r="L514" i="1" l="1"/>
  <c r="S514" i="1" s="1"/>
  <c r="L507" i="1"/>
  <c r="S507" i="1" s="1"/>
  <c r="L316" i="1" l="1"/>
  <c r="S316" i="1" s="1"/>
  <c r="K25" i="1" l="1"/>
  <c r="M664" i="1" l="1"/>
  <c r="L503" i="1" l="1"/>
  <c r="S503" i="1" s="1"/>
  <c r="L508" i="1" l="1"/>
  <c r="S508" i="1" s="1"/>
  <c r="L505" i="1"/>
  <c r="S505" i="1" s="1"/>
  <c r="L304" i="1" l="1"/>
  <c r="S304" i="1" s="1"/>
  <c r="L248" i="1"/>
  <c r="S248" i="1" s="1"/>
  <c r="L25" i="1" l="1"/>
  <c r="L630" i="1"/>
  <c r="S630" i="1" s="1"/>
  <c r="L700" i="1"/>
  <c r="S700" i="1" s="1"/>
  <c r="L703" i="1"/>
  <c r="S703" i="1" s="1"/>
  <c r="M25" i="1" l="1"/>
  <c r="S25" i="1"/>
  <c r="K664" i="1"/>
  <c r="K548" i="1" l="1"/>
  <c r="T837" i="1" l="1"/>
  <c r="T836" i="1"/>
  <c r="T835" i="1"/>
  <c r="T833" i="1"/>
  <c r="T832" i="1"/>
  <c r="T831" i="1"/>
  <c r="T830" i="1"/>
  <c r="T828" i="1"/>
  <c r="T826" i="1"/>
  <c r="T825" i="1"/>
  <c r="T823" i="1"/>
  <c r="T822" i="1"/>
  <c r="T821" i="1"/>
  <c r="T820" i="1"/>
  <c r="T819" i="1"/>
  <c r="T818" i="1"/>
  <c r="T814" i="1"/>
  <c r="T812" i="1"/>
  <c r="T811" i="1"/>
  <c r="T810" i="1"/>
  <c r="T809" i="1"/>
  <c r="T808" i="1"/>
  <c r="T807" i="1"/>
  <c r="T804" i="1"/>
  <c r="T801" i="1"/>
  <c r="T798" i="1"/>
  <c r="T796" i="1"/>
  <c r="T795" i="1"/>
  <c r="T793" i="1"/>
  <c r="T791" i="1"/>
  <c r="T790" i="1"/>
  <c r="T789" i="1"/>
  <c r="T788" i="1"/>
  <c r="T787" i="1"/>
  <c r="T786" i="1"/>
  <c r="T784" i="1"/>
  <c r="T783" i="1"/>
  <c r="T782" i="1"/>
  <c r="T781" i="1"/>
  <c r="T780" i="1"/>
  <c r="T779" i="1"/>
  <c r="T778" i="1"/>
  <c r="T777" i="1"/>
  <c r="T776" i="1"/>
  <c r="T775" i="1"/>
  <c r="T774" i="1"/>
  <c r="T773" i="1"/>
  <c r="T772" i="1"/>
  <c r="T771" i="1"/>
  <c r="T770" i="1"/>
  <c r="T769" i="1"/>
  <c r="T768" i="1"/>
  <c r="T767" i="1"/>
  <c r="T766" i="1"/>
  <c r="T765" i="1"/>
  <c r="T764" i="1"/>
  <c r="T763" i="1"/>
  <c r="T762" i="1"/>
  <c r="T761" i="1"/>
  <c r="T759" i="1"/>
  <c r="T758" i="1"/>
  <c r="T757" i="1"/>
  <c r="T756" i="1"/>
  <c r="T754" i="1"/>
  <c r="T753" i="1"/>
  <c r="T752" i="1"/>
  <c r="T751" i="1"/>
  <c r="T750" i="1"/>
  <c r="T749" i="1"/>
  <c r="T748" i="1"/>
  <c r="T747" i="1"/>
  <c r="T745" i="1"/>
  <c r="T742" i="1"/>
  <c r="T741" i="1"/>
  <c r="T740" i="1"/>
  <c r="T738" i="1"/>
  <c r="T736" i="1"/>
  <c r="T735" i="1"/>
  <c r="T733" i="1"/>
  <c r="T730" i="1"/>
  <c r="T729" i="1"/>
  <c r="T728" i="1"/>
  <c r="T727" i="1"/>
  <c r="T726" i="1"/>
  <c r="T723" i="1"/>
  <c r="T720" i="1"/>
  <c r="T719" i="1"/>
  <c r="T718" i="1"/>
  <c r="T717" i="1"/>
  <c r="T713" i="1"/>
  <c r="T712" i="1"/>
  <c r="T711" i="1"/>
  <c r="T710" i="1"/>
  <c r="T708" i="1"/>
  <c r="T706" i="1"/>
  <c r="T703" i="1"/>
  <c r="T702" i="1"/>
  <c r="T701" i="1"/>
  <c r="T700" i="1"/>
  <c r="T699" i="1"/>
  <c r="T698" i="1"/>
  <c r="T695" i="1"/>
  <c r="T694" i="1"/>
  <c r="T693" i="1"/>
  <c r="T692" i="1"/>
  <c r="T691" i="1"/>
  <c r="T690" i="1"/>
  <c r="T689" i="1"/>
  <c r="T688" i="1"/>
  <c r="T687" i="1"/>
  <c r="T686" i="1"/>
  <c r="T685" i="1"/>
  <c r="T684" i="1"/>
  <c r="T683" i="1"/>
  <c r="T682" i="1"/>
  <c r="T681" i="1"/>
  <c r="T680" i="1"/>
  <c r="T679" i="1"/>
  <c r="T678" i="1"/>
  <c r="T676" i="1"/>
  <c r="T672" i="1"/>
  <c r="T671" i="1"/>
  <c r="T669" i="1"/>
  <c r="T668" i="1"/>
  <c r="T667" i="1"/>
  <c r="T666" i="1"/>
  <c r="T665" i="1"/>
  <c r="T663" i="1"/>
  <c r="T661" i="1"/>
  <c r="T660" i="1"/>
  <c r="T658" i="1"/>
  <c r="T657" i="1"/>
  <c r="T656" i="1"/>
  <c r="T655" i="1"/>
  <c r="T653" i="1"/>
  <c r="T652" i="1"/>
  <c r="T650" i="1"/>
  <c r="T649" i="1"/>
  <c r="T648" i="1"/>
  <c r="T647" i="1"/>
  <c r="T646" i="1"/>
  <c r="T645" i="1"/>
  <c r="T644" i="1"/>
  <c r="T643" i="1"/>
  <c r="T642" i="1"/>
  <c r="T641" i="1"/>
  <c r="T639" i="1"/>
  <c r="T638" i="1"/>
  <c r="T637" i="1"/>
  <c r="T636" i="1"/>
  <c r="T635" i="1"/>
  <c r="T634" i="1"/>
  <c r="T632" i="1"/>
  <c r="T631" i="1"/>
  <c r="T630" i="1"/>
  <c r="T628" i="1"/>
  <c r="T627" i="1"/>
  <c r="T626" i="1"/>
  <c r="T625" i="1"/>
  <c r="T624" i="1"/>
  <c r="T623" i="1"/>
  <c r="T620" i="1"/>
  <c r="T617" i="1"/>
  <c r="T616" i="1"/>
  <c r="T615" i="1"/>
  <c r="T614" i="1"/>
  <c r="T613" i="1"/>
  <c r="T612" i="1"/>
  <c r="T611" i="1"/>
  <c r="T610" i="1"/>
  <c r="T609" i="1"/>
  <c r="T608" i="1"/>
  <c r="T607" i="1"/>
  <c r="T603" i="1"/>
  <c r="T602" i="1"/>
  <c r="T601" i="1"/>
  <c r="T600" i="1"/>
  <c r="T599" i="1"/>
  <c r="T598" i="1"/>
  <c r="T597" i="1"/>
  <c r="T596" i="1"/>
  <c r="T595" i="1"/>
  <c r="T593" i="1"/>
  <c r="T592" i="1"/>
  <c r="T590" i="1"/>
  <c r="T589" i="1"/>
  <c r="T588" i="1"/>
  <c r="T587" i="1"/>
  <c r="T586" i="1"/>
  <c r="T583" i="1"/>
  <c r="T581" i="1"/>
  <c r="T579" i="1"/>
  <c r="T576" i="1"/>
  <c r="T575" i="1"/>
  <c r="T574" i="1"/>
  <c r="T573" i="1"/>
  <c r="T571" i="1"/>
  <c r="T569" i="1"/>
  <c r="T566" i="1"/>
  <c r="T564" i="1"/>
  <c r="T562" i="1"/>
  <c r="T560" i="1"/>
  <c r="T559" i="1"/>
  <c r="T558" i="1"/>
  <c r="T556" i="1"/>
  <c r="T555" i="1"/>
  <c r="T554" i="1"/>
  <c r="T552" i="1"/>
  <c r="T551" i="1"/>
  <c r="T550" i="1"/>
  <c r="T549" i="1"/>
  <c r="T547" i="1"/>
  <c r="T546" i="1"/>
  <c r="T545" i="1"/>
  <c r="T544" i="1"/>
  <c r="T542" i="1"/>
  <c r="T541" i="1"/>
  <c r="T540" i="1"/>
  <c r="T539" i="1"/>
  <c r="T538" i="1"/>
  <c r="T537" i="1"/>
  <c r="T536" i="1"/>
  <c r="T534" i="1"/>
  <c r="T533" i="1"/>
  <c r="T532" i="1"/>
  <c r="T531" i="1"/>
  <c r="T529" i="1"/>
  <c r="T526" i="1"/>
  <c r="T524" i="1"/>
  <c r="T520" i="1"/>
  <c r="T519" i="1"/>
  <c r="T518" i="1"/>
  <c r="T517" i="1"/>
  <c r="T515" i="1"/>
  <c r="T514" i="1"/>
  <c r="T513" i="1"/>
  <c r="T512" i="1"/>
  <c r="T511" i="1"/>
  <c r="T510" i="1"/>
  <c r="T508" i="1"/>
  <c r="T507" i="1"/>
  <c r="T506" i="1"/>
  <c r="T505" i="1"/>
  <c r="T504" i="1"/>
  <c r="T503" i="1"/>
  <c r="T502" i="1"/>
  <c r="T500" i="1"/>
  <c r="T496" i="1"/>
  <c r="T495" i="1"/>
  <c r="T494" i="1"/>
  <c r="T492" i="1"/>
  <c r="T491" i="1"/>
  <c r="T490" i="1"/>
  <c r="T488" i="1"/>
  <c r="T486" i="1"/>
  <c r="T484" i="1"/>
  <c r="T482" i="1"/>
  <c r="T480" i="1"/>
  <c r="T478" i="1"/>
  <c r="T476" i="1"/>
  <c r="T474" i="1"/>
  <c r="T472" i="1"/>
  <c r="T471" i="1"/>
  <c r="T469" i="1"/>
  <c r="T467" i="1"/>
  <c r="T465" i="1"/>
  <c r="T464" i="1"/>
  <c r="T463" i="1"/>
  <c r="T462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5" i="1"/>
  <c r="T443" i="1"/>
  <c r="T442" i="1"/>
  <c r="T441" i="1"/>
  <c r="T439" i="1"/>
  <c r="T438" i="1"/>
  <c r="T436" i="1"/>
  <c r="T433" i="1"/>
  <c r="T432" i="1"/>
  <c r="T430" i="1"/>
  <c r="T428" i="1"/>
  <c r="T425" i="1"/>
  <c r="T424" i="1"/>
  <c r="T423" i="1"/>
  <c r="T422" i="1"/>
  <c r="T421" i="1"/>
  <c r="T418" i="1"/>
  <c r="T417" i="1"/>
  <c r="T416" i="1"/>
  <c r="T415" i="1"/>
  <c r="T414" i="1"/>
  <c r="T413" i="1"/>
  <c r="T412" i="1"/>
  <c r="T410" i="1"/>
  <c r="T407" i="1"/>
  <c r="T405" i="1"/>
  <c r="T401" i="1"/>
  <c r="T400" i="1"/>
  <c r="T399" i="1"/>
  <c r="T398" i="1"/>
  <c r="T397" i="1"/>
  <c r="T394" i="1"/>
  <c r="T391" i="1"/>
  <c r="T387" i="1"/>
  <c r="T386" i="1"/>
  <c r="T383" i="1"/>
  <c r="T381" i="1"/>
  <c r="T379" i="1"/>
  <c r="T376" i="1"/>
  <c r="T375" i="1"/>
  <c r="T374" i="1"/>
  <c r="T371" i="1"/>
  <c r="T370" i="1"/>
  <c r="T368" i="1"/>
  <c r="T366" i="1"/>
  <c r="T364" i="1"/>
  <c r="T362" i="1"/>
  <c r="T360" i="1"/>
  <c r="T357" i="1"/>
  <c r="T356" i="1"/>
  <c r="T355" i="1"/>
  <c r="T354" i="1"/>
  <c r="T353" i="1"/>
  <c r="T352" i="1"/>
  <c r="T350" i="1"/>
  <c r="T348" i="1"/>
  <c r="T346" i="1"/>
  <c r="T344" i="1"/>
  <c r="T342" i="1"/>
  <c r="T340" i="1"/>
  <c r="T338" i="1"/>
  <c r="T336" i="1"/>
  <c r="T334" i="1"/>
  <c r="T332" i="1"/>
  <c r="T328" i="1"/>
  <c r="T327" i="1"/>
  <c r="T326" i="1"/>
  <c r="T325" i="1"/>
  <c r="T324" i="1"/>
  <c r="T322" i="1"/>
  <c r="T321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6" i="1"/>
  <c r="T305" i="1"/>
  <c r="T304" i="1"/>
  <c r="T302" i="1"/>
  <c r="T300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5" i="1"/>
  <c r="T284" i="1"/>
  <c r="T283" i="1"/>
  <c r="T281" i="1"/>
  <c r="T280" i="1"/>
  <c r="T279" i="1"/>
  <c r="T278" i="1"/>
  <c r="T277" i="1"/>
  <c r="T276" i="1"/>
  <c r="T275" i="1"/>
  <c r="T274" i="1"/>
  <c r="T272" i="1"/>
  <c r="T270" i="1"/>
  <c r="T269" i="1"/>
  <c r="T268" i="1"/>
  <c r="T267" i="1"/>
  <c r="T266" i="1"/>
  <c r="T264" i="1"/>
  <c r="T263" i="1"/>
  <c r="T262" i="1"/>
  <c r="T260" i="1"/>
  <c r="T258" i="1"/>
  <c r="T255" i="1"/>
  <c r="T254" i="1"/>
  <c r="T251" i="1"/>
  <c r="T249" i="1"/>
  <c r="T248" i="1"/>
  <c r="T246" i="1"/>
  <c r="T244" i="1"/>
  <c r="T243" i="1"/>
  <c r="T240" i="1"/>
  <c r="T239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3" i="1"/>
  <c r="T219" i="1"/>
  <c r="T217" i="1"/>
  <c r="T216" i="1"/>
  <c r="T215" i="1"/>
  <c r="T213" i="1"/>
  <c r="T212" i="1"/>
  <c r="T211" i="1"/>
  <c r="T210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8" i="1"/>
  <c r="T186" i="1"/>
  <c r="T185" i="1"/>
  <c r="T184" i="1"/>
  <c r="T181" i="1"/>
  <c r="T180" i="1"/>
  <c r="T179" i="1"/>
  <c r="T178" i="1"/>
  <c r="T176" i="1"/>
  <c r="T175" i="1"/>
  <c r="T174" i="1"/>
  <c r="T173" i="1"/>
  <c r="T171" i="1"/>
  <c r="T168" i="1"/>
  <c r="T167" i="1"/>
  <c r="T165" i="1"/>
  <c r="T163" i="1"/>
  <c r="T162" i="1"/>
  <c r="T161" i="1"/>
  <c r="T160" i="1"/>
  <c r="T159" i="1"/>
  <c r="T158" i="1"/>
  <c r="T156" i="1"/>
  <c r="T154" i="1"/>
  <c r="T153" i="1"/>
  <c r="T152" i="1"/>
  <c r="T150" i="1"/>
  <c r="T148" i="1"/>
  <c r="T147" i="1"/>
  <c r="T146" i="1"/>
  <c r="T145" i="1"/>
  <c r="T144" i="1"/>
  <c r="T143" i="1"/>
  <c r="T142" i="1"/>
  <c r="T141" i="1"/>
  <c r="T140" i="1"/>
  <c r="T138" i="1"/>
  <c r="T137" i="1"/>
  <c r="T136" i="1"/>
  <c r="T135" i="1"/>
  <c r="T134" i="1"/>
  <c r="T132" i="1"/>
  <c r="T131" i="1"/>
  <c r="T130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2" i="1"/>
  <c r="T111" i="1"/>
  <c r="T110" i="1"/>
  <c r="T109" i="1"/>
  <c r="T107" i="1"/>
  <c r="T106" i="1"/>
  <c r="T105" i="1"/>
  <c r="T104" i="1"/>
  <c r="T103" i="1"/>
  <c r="T102" i="1"/>
  <c r="T101" i="1"/>
  <c r="T100" i="1"/>
  <c r="T99" i="1"/>
  <c r="T98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6" i="1"/>
  <c r="T45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4" i="1"/>
  <c r="T23" i="1"/>
  <c r="T22" i="1"/>
  <c r="T21" i="1"/>
  <c r="T19" i="1"/>
  <c r="T17" i="1"/>
  <c r="T15" i="1"/>
  <c r="L183" i="1" l="1"/>
  <c r="T25" i="1" l="1"/>
  <c r="J25" i="1"/>
  <c r="I25" i="1"/>
  <c r="H25" i="1"/>
  <c r="W837" i="1"/>
  <c r="W836" i="1"/>
  <c r="W835" i="1"/>
  <c r="W834" i="1"/>
  <c r="W833" i="1"/>
  <c r="W832" i="1"/>
  <c r="W831" i="1"/>
  <c r="W830" i="1"/>
  <c r="W829" i="1"/>
  <c r="W828" i="1"/>
  <c r="W827" i="1"/>
  <c r="W826" i="1"/>
  <c r="W825" i="1"/>
  <c r="W824" i="1"/>
  <c r="W823" i="1"/>
  <c r="W822" i="1"/>
  <c r="W821" i="1"/>
  <c r="W820" i="1"/>
  <c r="W819" i="1"/>
  <c r="W818" i="1"/>
  <c r="W817" i="1"/>
  <c r="W816" i="1"/>
  <c r="W815" i="1"/>
  <c r="W814" i="1"/>
  <c r="W813" i="1"/>
  <c r="W812" i="1"/>
  <c r="W811" i="1"/>
  <c r="W810" i="1"/>
  <c r="W809" i="1"/>
  <c r="W808" i="1"/>
  <c r="W807" i="1"/>
  <c r="W806" i="1"/>
  <c r="W805" i="1"/>
  <c r="W804" i="1"/>
  <c r="W803" i="1"/>
  <c r="W802" i="1"/>
  <c r="W801" i="1"/>
  <c r="W800" i="1"/>
  <c r="W799" i="1"/>
  <c r="W798" i="1"/>
  <c r="W797" i="1"/>
  <c r="W796" i="1"/>
  <c r="W795" i="1"/>
  <c r="W794" i="1"/>
  <c r="W793" i="1"/>
  <c r="W792" i="1"/>
  <c r="W791" i="1"/>
  <c r="W790" i="1"/>
  <c r="W789" i="1"/>
  <c r="W788" i="1"/>
  <c r="W787" i="1"/>
  <c r="W786" i="1"/>
  <c r="W785" i="1"/>
  <c r="W784" i="1"/>
  <c r="W783" i="1"/>
  <c r="W782" i="1"/>
  <c r="W781" i="1"/>
  <c r="W780" i="1"/>
  <c r="W779" i="1"/>
  <c r="W778" i="1"/>
  <c r="W777" i="1"/>
  <c r="W776" i="1"/>
  <c r="W775" i="1"/>
  <c r="W774" i="1"/>
  <c r="W773" i="1"/>
  <c r="W772" i="1"/>
  <c r="W771" i="1"/>
  <c r="W770" i="1"/>
  <c r="W769" i="1"/>
  <c r="W768" i="1"/>
  <c r="W767" i="1"/>
  <c r="W766" i="1"/>
  <c r="W765" i="1"/>
  <c r="W764" i="1"/>
  <c r="W763" i="1"/>
  <c r="W762" i="1"/>
  <c r="W761" i="1"/>
  <c r="W760" i="1"/>
  <c r="W759" i="1"/>
  <c r="W758" i="1"/>
  <c r="W757" i="1"/>
  <c r="W756" i="1"/>
  <c r="W755" i="1"/>
  <c r="W754" i="1"/>
  <c r="W753" i="1"/>
  <c r="W752" i="1"/>
  <c r="W751" i="1"/>
  <c r="W750" i="1"/>
  <c r="W749" i="1"/>
  <c r="W748" i="1"/>
  <c r="W747" i="1"/>
  <c r="W746" i="1"/>
  <c r="W745" i="1"/>
  <c r="W744" i="1"/>
  <c r="W743" i="1"/>
  <c r="W742" i="1"/>
  <c r="W741" i="1"/>
  <c r="W740" i="1"/>
  <c r="W739" i="1"/>
  <c r="W738" i="1"/>
  <c r="W737" i="1"/>
  <c r="W736" i="1"/>
  <c r="W735" i="1"/>
  <c r="W734" i="1"/>
  <c r="W733" i="1"/>
  <c r="W732" i="1"/>
  <c r="W731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V25" i="1" l="1"/>
  <c r="U25" i="1"/>
  <c r="R837" i="1"/>
  <c r="Q837" i="1"/>
  <c r="P837" i="1"/>
  <c r="O837" i="1"/>
  <c r="R836" i="1"/>
  <c r="Q836" i="1"/>
  <c r="P836" i="1"/>
  <c r="O836" i="1"/>
  <c r="R835" i="1"/>
  <c r="Q835" i="1"/>
  <c r="P835" i="1"/>
  <c r="O835" i="1"/>
  <c r="R833" i="1"/>
  <c r="Q833" i="1"/>
  <c r="P833" i="1"/>
  <c r="O833" i="1"/>
  <c r="R832" i="1"/>
  <c r="Q832" i="1"/>
  <c r="P832" i="1"/>
  <c r="O832" i="1"/>
  <c r="R831" i="1"/>
  <c r="Q831" i="1"/>
  <c r="P831" i="1"/>
  <c r="O831" i="1"/>
  <c r="R830" i="1"/>
  <c r="Q830" i="1"/>
  <c r="P830" i="1"/>
  <c r="O830" i="1"/>
  <c r="R828" i="1"/>
  <c r="Q828" i="1"/>
  <c r="P828" i="1"/>
  <c r="O828" i="1"/>
  <c r="R826" i="1"/>
  <c r="Q826" i="1"/>
  <c r="P826" i="1"/>
  <c r="O826" i="1"/>
  <c r="R825" i="1"/>
  <c r="Q825" i="1"/>
  <c r="P825" i="1"/>
  <c r="O825" i="1"/>
  <c r="R823" i="1"/>
  <c r="Q823" i="1"/>
  <c r="P823" i="1"/>
  <c r="O823" i="1"/>
  <c r="R822" i="1"/>
  <c r="Q822" i="1"/>
  <c r="P822" i="1"/>
  <c r="O822" i="1"/>
  <c r="R821" i="1"/>
  <c r="Q821" i="1"/>
  <c r="P821" i="1"/>
  <c r="O821" i="1"/>
  <c r="R820" i="1"/>
  <c r="Q820" i="1"/>
  <c r="P820" i="1"/>
  <c r="O820" i="1"/>
  <c r="R819" i="1"/>
  <c r="Q819" i="1"/>
  <c r="P819" i="1"/>
  <c r="O819" i="1"/>
  <c r="R818" i="1"/>
  <c r="Q818" i="1"/>
  <c r="P818" i="1"/>
  <c r="O818" i="1"/>
  <c r="R814" i="1"/>
  <c r="Q814" i="1"/>
  <c r="P814" i="1"/>
  <c r="O814" i="1"/>
  <c r="R812" i="1"/>
  <c r="Q812" i="1"/>
  <c r="P812" i="1"/>
  <c r="O812" i="1"/>
  <c r="R811" i="1"/>
  <c r="Q811" i="1"/>
  <c r="P811" i="1"/>
  <c r="O811" i="1"/>
  <c r="R810" i="1"/>
  <c r="Q810" i="1"/>
  <c r="P810" i="1"/>
  <c r="O810" i="1"/>
  <c r="R809" i="1"/>
  <c r="Q809" i="1"/>
  <c r="P809" i="1"/>
  <c r="O809" i="1"/>
  <c r="R808" i="1"/>
  <c r="Q808" i="1"/>
  <c r="P808" i="1"/>
  <c r="O808" i="1"/>
  <c r="R807" i="1"/>
  <c r="Q807" i="1"/>
  <c r="P807" i="1"/>
  <c r="O807" i="1"/>
  <c r="R804" i="1"/>
  <c r="Q804" i="1"/>
  <c r="P804" i="1"/>
  <c r="O804" i="1"/>
  <c r="R801" i="1"/>
  <c r="Q801" i="1"/>
  <c r="P801" i="1"/>
  <c r="O801" i="1"/>
  <c r="R798" i="1"/>
  <c r="Q798" i="1"/>
  <c r="P798" i="1"/>
  <c r="O798" i="1"/>
  <c r="R796" i="1"/>
  <c r="Q796" i="1"/>
  <c r="P796" i="1"/>
  <c r="O796" i="1"/>
  <c r="R795" i="1"/>
  <c r="Q795" i="1"/>
  <c r="P795" i="1"/>
  <c r="O795" i="1"/>
  <c r="R793" i="1"/>
  <c r="Q793" i="1"/>
  <c r="P793" i="1"/>
  <c r="O793" i="1"/>
  <c r="R791" i="1"/>
  <c r="Q791" i="1"/>
  <c r="P791" i="1"/>
  <c r="O791" i="1"/>
  <c r="R790" i="1"/>
  <c r="Q790" i="1"/>
  <c r="P790" i="1"/>
  <c r="O790" i="1"/>
  <c r="R789" i="1"/>
  <c r="Q789" i="1"/>
  <c r="P789" i="1"/>
  <c r="O789" i="1"/>
  <c r="R788" i="1"/>
  <c r="Q788" i="1"/>
  <c r="P788" i="1"/>
  <c r="O788" i="1"/>
  <c r="R787" i="1"/>
  <c r="Q787" i="1"/>
  <c r="P787" i="1"/>
  <c r="O787" i="1"/>
  <c r="R786" i="1"/>
  <c r="Q786" i="1"/>
  <c r="P786" i="1"/>
  <c r="O786" i="1"/>
  <c r="R784" i="1"/>
  <c r="Q784" i="1"/>
  <c r="P784" i="1"/>
  <c r="O784" i="1"/>
  <c r="R783" i="1"/>
  <c r="Q783" i="1"/>
  <c r="P783" i="1"/>
  <c r="O783" i="1"/>
  <c r="R782" i="1"/>
  <c r="Q782" i="1"/>
  <c r="P782" i="1"/>
  <c r="O782" i="1"/>
  <c r="R781" i="1"/>
  <c r="Q781" i="1"/>
  <c r="P781" i="1"/>
  <c r="O781" i="1"/>
  <c r="R780" i="1"/>
  <c r="Q780" i="1"/>
  <c r="P780" i="1"/>
  <c r="O780" i="1"/>
  <c r="R779" i="1"/>
  <c r="Q779" i="1"/>
  <c r="P779" i="1"/>
  <c r="O779" i="1"/>
  <c r="R778" i="1"/>
  <c r="Q778" i="1"/>
  <c r="P778" i="1"/>
  <c r="O778" i="1"/>
  <c r="R777" i="1"/>
  <c r="Q777" i="1"/>
  <c r="P777" i="1"/>
  <c r="O777" i="1"/>
  <c r="R776" i="1"/>
  <c r="Q776" i="1"/>
  <c r="P776" i="1"/>
  <c r="O776" i="1"/>
  <c r="R775" i="1"/>
  <c r="Q775" i="1"/>
  <c r="P775" i="1"/>
  <c r="O775" i="1"/>
  <c r="R774" i="1"/>
  <c r="Q774" i="1"/>
  <c r="P774" i="1"/>
  <c r="O774" i="1"/>
  <c r="R773" i="1"/>
  <c r="Q773" i="1"/>
  <c r="P773" i="1"/>
  <c r="O773" i="1"/>
  <c r="R772" i="1"/>
  <c r="Q772" i="1"/>
  <c r="P772" i="1"/>
  <c r="O772" i="1"/>
  <c r="R771" i="1"/>
  <c r="Q771" i="1"/>
  <c r="P771" i="1"/>
  <c r="O771" i="1"/>
  <c r="R770" i="1"/>
  <c r="Q770" i="1"/>
  <c r="P770" i="1"/>
  <c r="O770" i="1"/>
  <c r="R769" i="1"/>
  <c r="Q769" i="1"/>
  <c r="P769" i="1"/>
  <c r="O769" i="1"/>
  <c r="R768" i="1"/>
  <c r="Q768" i="1"/>
  <c r="P768" i="1"/>
  <c r="O768" i="1"/>
  <c r="R767" i="1"/>
  <c r="Q767" i="1"/>
  <c r="P767" i="1"/>
  <c r="O767" i="1"/>
  <c r="R766" i="1"/>
  <c r="Q766" i="1"/>
  <c r="P766" i="1"/>
  <c r="O766" i="1"/>
  <c r="R765" i="1"/>
  <c r="Q765" i="1"/>
  <c r="P765" i="1"/>
  <c r="O765" i="1"/>
  <c r="R764" i="1"/>
  <c r="Q764" i="1"/>
  <c r="P764" i="1"/>
  <c r="O764" i="1"/>
  <c r="R763" i="1"/>
  <c r="Q763" i="1"/>
  <c r="P763" i="1"/>
  <c r="O763" i="1"/>
  <c r="R762" i="1"/>
  <c r="Q762" i="1"/>
  <c r="P762" i="1"/>
  <c r="O762" i="1"/>
  <c r="R761" i="1"/>
  <c r="Q761" i="1"/>
  <c r="P761" i="1"/>
  <c r="O761" i="1"/>
  <c r="R759" i="1"/>
  <c r="Q759" i="1"/>
  <c r="P759" i="1"/>
  <c r="O759" i="1"/>
  <c r="R758" i="1"/>
  <c r="Q758" i="1"/>
  <c r="P758" i="1"/>
  <c r="O758" i="1"/>
  <c r="R757" i="1"/>
  <c r="Q757" i="1"/>
  <c r="P757" i="1"/>
  <c r="O757" i="1"/>
  <c r="R756" i="1"/>
  <c r="Q756" i="1"/>
  <c r="P756" i="1"/>
  <c r="O756" i="1"/>
  <c r="R754" i="1"/>
  <c r="Q754" i="1"/>
  <c r="P754" i="1"/>
  <c r="O754" i="1"/>
  <c r="R753" i="1"/>
  <c r="Q753" i="1"/>
  <c r="P753" i="1"/>
  <c r="O753" i="1"/>
  <c r="R752" i="1"/>
  <c r="Q752" i="1"/>
  <c r="P752" i="1"/>
  <c r="O752" i="1"/>
  <c r="R751" i="1"/>
  <c r="Q751" i="1"/>
  <c r="P751" i="1"/>
  <c r="O751" i="1"/>
  <c r="R750" i="1"/>
  <c r="Q750" i="1"/>
  <c r="P750" i="1"/>
  <c r="O750" i="1"/>
  <c r="R749" i="1"/>
  <c r="Q749" i="1"/>
  <c r="P749" i="1"/>
  <c r="O749" i="1"/>
  <c r="R748" i="1"/>
  <c r="Q748" i="1"/>
  <c r="P748" i="1"/>
  <c r="O748" i="1"/>
  <c r="R747" i="1"/>
  <c r="Q747" i="1"/>
  <c r="P747" i="1"/>
  <c r="O747" i="1"/>
  <c r="R745" i="1"/>
  <c r="Q745" i="1"/>
  <c r="P745" i="1"/>
  <c r="O745" i="1"/>
  <c r="R742" i="1"/>
  <c r="Q742" i="1"/>
  <c r="P742" i="1"/>
  <c r="O742" i="1"/>
  <c r="R741" i="1"/>
  <c r="Q741" i="1"/>
  <c r="P741" i="1"/>
  <c r="O741" i="1"/>
  <c r="R740" i="1"/>
  <c r="Q740" i="1"/>
  <c r="P740" i="1"/>
  <c r="O740" i="1"/>
  <c r="R738" i="1"/>
  <c r="Q738" i="1"/>
  <c r="P738" i="1"/>
  <c r="O738" i="1"/>
  <c r="R736" i="1"/>
  <c r="Q736" i="1"/>
  <c r="P736" i="1"/>
  <c r="O736" i="1"/>
  <c r="R733" i="1"/>
  <c r="Q733" i="1"/>
  <c r="P733" i="1"/>
  <c r="O733" i="1"/>
  <c r="R730" i="1"/>
  <c r="Q730" i="1"/>
  <c r="P730" i="1"/>
  <c r="O730" i="1"/>
  <c r="R729" i="1"/>
  <c r="Q729" i="1"/>
  <c r="P729" i="1"/>
  <c r="O729" i="1"/>
  <c r="R728" i="1"/>
  <c r="Q728" i="1"/>
  <c r="P728" i="1"/>
  <c r="O728" i="1"/>
  <c r="R727" i="1"/>
  <c r="Q727" i="1"/>
  <c r="P727" i="1"/>
  <c r="O727" i="1"/>
  <c r="R726" i="1"/>
  <c r="Q726" i="1"/>
  <c r="P726" i="1"/>
  <c r="O726" i="1"/>
  <c r="R723" i="1"/>
  <c r="Q723" i="1"/>
  <c r="P723" i="1"/>
  <c r="O723" i="1"/>
  <c r="R720" i="1"/>
  <c r="Q720" i="1"/>
  <c r="P720" i="1"/>
  <c r="O720" i="1"/>
  <c r="R719" i="1"/>
  <c r="Q719" i="1"/>
  <c r="P719" i="1"/>
  <c r="O719" i="1"/>
  <c r="R718" i="1"/>
  <c r="Q718" i="1"/>
  <c r="P718" i="1"/>
  <c r="O718" i="1"/>
  <c r="R717" i="1"/>
  <c r="Q717" i="1"/>
  <c r="P717" i="1"/>
  <c r="O717" i="1"/>
  <c r="R713" i="1"/>
  <c r="Q713" i="1"/>
  <c r="P713" i="1"/>
  <c r="O713" i="1"/>
  <c r="R712" i="1"/>
  <c r="Q712" i="1"/>
  <c r="P712" i="1"/>
  <c r="O712" i="1"/>
  <c r="R711" i="1"/>
  <c r="Q711" i="1"/>
  <c r="P711" i="1"/>
  <c r="O711" i="1"/>
  <c r="R710" i="1"/>
  <c r="Q710" i="1"/>
  <c r="P710" i="1"/>
  <c r="O710" i="1"/>
  <c r="R708" i="1"/>
  <c r="Q708" i="1"/>
  <c r="P708" i="1"/>
  <c r="O708" i="1"/>
  <c r="R706" i="1"/>
  <c r="Q706" i="1"/>
  <c r="P706" i="1"/>
  <c r="O706" i="1"/>
  <c r="R703" i="1"/>
  <c r="Q703" i="1"/>
  <c r="P703" i="1"/>
  <c r="O703" i="1"/>
  <c r="R702" i="1"/>
  <c r="Q702" i="1"/>
  <c r="P702" i="1"/>
  <c r="O702" i="1"/>
  <c r="R701" i="1"/>
  <c r="Q701" i="1"/>
  <c r="P701" i="1"/>
  <c r="O701" i="1"/>
  <c r="R700" i="1"/>
  <c r="Q700" i="1"/>
  <c r="P700" i="1"/>
  <c r="O700" i="1"/>
  <c r="R699" i="1"/>
  <c r="Q699" i="1"/>
  <c r="P699" i="1"/>
  <c r="O699" i="1"/>
  <c r="R698" i="1"/>
  <c r="Q698" i="1"/>
  <c r="P698" i="1"/>
  <c r="O698" i="1"/>
  <c r="R695" i="1"/>
  <c r="Q695" i="1"/>
  <c r="P695" i="1"/>
  <c r="O695" i="1"/>
  <c r="R694" i="1"/>
  <c r="Q694" i="1"/>
  <c r="P694" i="1"/>
  <c r="O694" i="1"/>
  <c r="R693" i="1"/>
  <c r="Q693" i="1"/>
  <c r="P693" i="1"/>
  <c r="O693" i="1"/>
  <c r="R692" i="1"/>
  <c r="Q692" i="1"/>
  <c r="P692" i="1"/>
  <c r="O692" i="1"/>
  <c r="R691" i="1"/>
  <c r="Q691" i="1"/>
  <c r="P691" i="1"/>
  <c r="O691" i="1"/>
  <c r="R690" i="1"/>
  <c r="Q690" i="1"/>
  <c r="P690" i="1"/>
  <c r="O690" i="1"/>
  <c r="R689" i="1"/>
  <c r="Q689" i="1"/>
  <c r="P689" i="1"/>
  <c r="O689" i="1"/>
  <c r="R688" i="1"/>
  <c r="Q688" i="1"/>
  <c r="P688" i="1"/>
  <c r="O688" i="1"/>
  <c r="R687" i="1"/>
  <c r="Q687" i="1"/>
  <c r="P687" i="1"/>
  <c r="O687" i="1"/>
  <c r="R686" i="1"/>
  <c r="Q686" i="1"/>
  <c r="P686" i="1"/>
  <c r="O686" i="1"/>
  <c r="R685" i="1"/>
  <c r="Q685" i="1"/>
  <c r="P685" i="1"/>
  <c r="O685" i="1"/>
  <c r="R684" i="1"/>
  <c r="Q684" i="1"/>
  <c r="P684" i="1"/>
  <c r="O684" i="1"/>
  <c r="R683" i="1"/>
  <c r="Q683" i="1"/>
  <c r="P683" i="1"/>
  <c r="O683" i="1"/>
  <c r="R682" i="1"/>
  <c r="Q682" i="1"/>
  <c r="P682" i="1"/>
  <c r="O682" i="1"/>
  <c r="R681" i="1"/>
  <c r="Q681" i="1"/>
  <c r="P681" i="1"/>
  <c r="O681" i="1"/>
  <c r="R680" i="1"/>
  <c r="Q680" i="1"/>
  <c r="P680" i="1"/>
  <c r="O680" i="1"/>
  <c r="R679" i="1"/>
  <c r="Q679" i="1"/>
  <c r="P679" i="1"/>
  <c r="O679" i="1"/>
  <c r="R678" i="1"/>
  <c r="Q678" i="1"/>
  <c r="P678" i="1"/>
  <c r="O678" i="1"/>
  <c r="R676" i="1"/>
  <c r="Q676" i="1"/>
  <c r="P676" i="1"/>
  <c r="O676" i="1"/>
  <c r="R672" i="1"/>
  <c r="Q672" i="1"/>
  <c r="P672" i="1"/>
  <c r="O672" i="1"/>
  <c r="R671" i="1"/>
  <c r="Q671" i="1"/>
  <c r="P671" i="1"/>
  <c r="O671" i="1"/>
  <c r="R669" i="1"/>
  <c r="Q669" i="1"/>
  <c r="P669" i="1"/>
  <c r="O669" i="1"/>
  <c r="R668" i="1"/>
  <c r="Q668" i="1"/>
  <c r="P668" i="1"/>
  <c r="O668" i="1"/>
  <c r="R667" i="1"/>
  <c r="Q667" i="1"/>
  <c r="P667" i="1"/>
  <c r="O667" i="1"/>
  <c r="R666" i="1"/>
  <c r="Q666" i="1"/>
  <c r="P666" i="1"/>
  <c r="O666" i="1"/>
  <c r="R665" i="1"/>
  <c r="Q665" i="1"/>
  <c r="P665" i="1"/>
  <c r="O665" i="1"/>
  <c r="R663" i="1"/>
  <c r="Q663" i="1"/>
  <c r="P663" i="1"/>
  <c r="O663" i="1"/>
  <c r="R661" i="1"/>
  <c r="Q661" i="1"/>
  <c r="P661" i="1"/>
  <c r="O661" i="1"/>
  <c r="R660" i="1"/>
  <c r="Q660" i="1"/>
  <c r="P660" i="1"/>
  <c r="O660" i="1"/>
  <c r="R658" i="1"/>
  <c r="Q658" i="1"/>
  <c r="P658" i="1"/>
  <c r="O658" i="1"/>
  <c r="R657" i="1"/>
  <c r="Q657" i="1"/>
  <c r="P657" i="1"/>
  <c r="O657" i="1"/>
  <c r="R656" i="1"/>
  <c r="Q656" i="1"/>
  <c r="P656" i="1"/>
  <c r="O656" i="1"/>
  <c r="R655" i="1"/>
  <c r="Q655" i="1"/>
  <c r="P655" i="1"/>
  <c r="O655" i="1"/>
  <c r="R653" i="1"/>
  <c r="Q653" i="1"/>
  <c r="P653" i="1"/>
  <c r="O653" i="1"/>
  <c r="R652" i="1"/>
  <c r="Q652" i="1"/>
  <c r="P652" i="1"/>
  <c r="O652" i="1"/>
  <c r="R650" i="1"/>
  <c r="Q650" i="1"/>
  <c r="P650" i="1"/>
  <c r="O650" i="1"/>
  <c r="R649" i="1"/>
  <c r="Q649" i="1"/>
  <c r="P649" i="1"/>
  <c r="O649" i="1"/>
  <c r="R648" i="1"/>
  <c r="Q648" i="1"/>
  <c r="P648" i="1"/>
  <c r="O648" i="1"/>
  <c r="R647" i="1"/>
  <c r="Q647" i="1"/>
  <c r="P647" i="1"/>
  <c r="O647" i="1"/>
  <c r="R646" i="1"/>
  <c r="Q646" i="1"/>
  <c r="P646" i="1"/>
  <c r="O646" i="1"/>
  <c r="R645" i="1"/>
  <c r="Q645" i="1"/>
  <c r="P645" i="1"/>
  <c r="O645" i="1"/>
  <c r="R644" i="1"/>
  <c r="Q644" i="1"/>
  <c r="P644" i="1"/>
  <c r="O644" i="1"/>
  <c r="R643" i="1"/>
  <c r="Q643" i="1"/>
  <c r="P643" i="1"/>
  <c r="O643" i="1"/>
  <c r="R642" i="1"/>
  <c r="Q642" i="1"/>
  <c r="P642" i="1"/>
  <c r="O642" i="1"/>
  <c r="R641" i="1"/>
  <c r="Q641" i="1"/>
  <c r="P641" i="1"/>
  <c r="O641" i="1"/>
  <c r="R639" i="1"/>
  <c r="Q639" i="1"/>
  <c r="P639" i="1"/>
  <c r="O639" i="1"/>
  <c r="R638" i="1"/>
  <c r="Q638" i="1"/>
  <c r="P638" i="1"/>
  <c r="O638" i="1"/>
  <c r="R637" i="1"/>
  <c r="Q637" i="1"/>
  <c r="P637" i="1"/>
  <c r="O637" i="1"/>
  <c r="R636" i="1"/>
  <c r="Q636" i="1"/>
  <c r="P636" i="1"/>
  <c r="O636" i="1"/>
  <c r="R635" i="1"/>
  <c r="Q635" i="1"/>
  <c r="P635" i="1"/>
  <c r="O635" i="1"/>
  <c r="R634" i="1"/>
  <c r="Q634" i="1"/>
  <c r="P634" i="1"/>
  <c r="O634" i="1"/>
  <c r="R632" i="1"/>
  <c r="Q632" i="1"/>
  <c r="P632" i="1"/>
  <c r="O632" i="1"/>
  <c r="R631" i="1"/>
  <c r="Q631" i="1"/>
  <c r="P631" i="1"/>
  <c r="O631" i="1"/>
  <c r="R630" i="1"/>
  <c r="Q630" i="1"/>
  <c r="P630" i="1"/>
  <c r="O630" i="1"/>
  <c r="R628" i="1"/>
  <c r="Q628" i="1"/>
  <c r="P628" i="1"/>
  <c r="O628" i="1"/>
  <c r="R627" i="1"/>
  <c r="Q627" i="1"/>
  <c r="P627" i="1"/>
  <c r="O627" i="1"/>
  <c r="R626" i="1"/>
  <c r="Q626" i="1"/>
  <c r="P626" i="1"/>
  <c r="O626" i="1"/>
  <c r="R625" i="1"/>
  <c r="Q625" i="1"/>
  <c r="P625" i="1"/>
  <c r="O625" i="1"/>
  <c r="R624" i="1"/>
  <c r="Q624" i="1"/>
  <c r="P624" i="1"/>
  <c r="O624" i="1"/>
  <c r="R623" i="1"/>
  <c r="Q623" i="1"/>
  <c r="P623" i="1"/>
  <c r="O623" i="1"/>
  <c r="R620" i="1"/>
  <c r="P620" i="1"/>
  <c r="R617" i="1"/>
  <c r="Q617" i="1"/>
  <c r="P617" i="1"/>
  <c r="O617" i="1"/>
  <c r="R616" i="1"/>
  <c r="Q616" i="1"/>
  <c r="P616" i="1"/>
  <c r="O616" i="1"/>
  <c r="R615" i="1"/>
  <c r="Q615" i="1"/>
  <c r="P615" i="1"/>
  <c r="O615" i="1"/>
  <c r="R614" i="1"/>
  <c r="Q614" i="1"/>
  <c r="P614" i="1"/>
  <c r="O614" i="1"/>
  <c r="R613" i="1"/>
  <c r="Q613" i="1"/>
  <c r="P613" i="1"/>
  <c r="O613" i="1"/>
  <c r="R612" i="1"/>
  <c r="Q612" i="1"/>
  <c r="P612" i="1"/>
  <c r="O612" i="1"/>
  <c r="R611" i="1"/>
  <c r="Q611" i="1"/>
  <c r="P611" i="1"/>
  <c r="O611" i="1"/>
  <c r="R610" i="1"/>
  <c r="Q610" i="1"/>
  <c r="P610" i="1"/>
  <c r="O610" i="1"/>
  <c r="R609" i="1"/>
  <c r="Q609" i="1"/>
  <c r="P609" i="1"/>
  <c r="O609" i="1"/>
  <c r="R608" i="1"/>
  <c r="Q608" i="1"/>
  <c r="P608" i="1"/>
  <c r="O608" i="1"/>
  <c r="R607" i="1"/>
  <c r="Q607" i="1"/>
  <c r="P607" i="1"/>
  <c r="O607" i="1"/>
  <c r="R603" i="1"/>
  <c r="Q603" i="1"/>
  <c r="P603" i="1"/>
  <c r="O603" i="1"/>
  <c r="R602" i="1"/>
  <c r="Q602" i="1"/>
  <c r="P602" i="1"/>
  <c r="O602" i="1"/>
  <c r="R601" i="1"/>
  <c r="Q601" i="1"/>
  <c r="P601" i="1"/>
  <c r="O601" i="1"/>
  <c r="R600" i="1"/>
  <c r="Q600" i="1"/>
  <c r="P600" i="1"/>
  <c r="O600" i="1"/>
  <c r="R599" i="1"/>
  <c r="Q599" i="1"/>
  <c r="P599" i="1"/>
  <c r="O599" i="1"/>
  <c r="R598" i="1"/>
  <c r="Q598" i="1"/>
  <c r="P598" i="1"/>
  <c r="O598" i="1"/>
  <c r="R597" i="1"/>
  <c r="Q597" i="1"/>
  <c r="P597" i="1"/>
  <c r="O597" i="1"/>
  <c r="R596" i="1"/>
  <c r="Q596" i="1"/>
  <c r="P596" i="1"/>
  <c r="O596" i="1"/>
  <c r="R595" i="1"/>
  <c r="Q595" i="1"/>
  <c r="P595" i="1"/>
  <c r="O595" i="1"/>
  <c r="R593" i="1"/>
  <c r="Q593" i="1"/>
  <c r="P593" i="1"/>
  <c r="O593" i="1"/>
  <c r="R592" i="1"/>
  <c r="Q592" i="1"/>
  <c r="P592" i="1"/>
  <c r="O592" i="1"/>
  <c r="R590" i="1"/>
  <c r="Q590" i="1"/>
  <c r="P590" i="1"/>
  <c r="O590" i="1"/>
  <c r="R589" i="1"/>
  <c r="Q589" i="1"/>
  <c r="P589" i="1"/>
  <c r="O589" i="1"/>
  <c r="R588" i="1"/>
  <c r="Q588" i="1"/>
  <c r="P588" i="1"/>
  <c r="O588" i="1"/>
  <c r="R587" i="1"/>
  <c r="Q587" i="1"/>
  <c r="P587" i="1"/>
  <c r="O587" i="1"/>
  <c r="R586" i="1"/>
  <c r="Q586" i="1"/>
  <c r="P586" i="1"/>
  <c r="O586" i="1"/>
  <c r="R583" i="1"/>
  <c r="Q583" i="1"/>
  <c r="P583" i="1"/>
  <c r="O583" i="1"/>
  <c r="R581" i="1"/>
  <c r="Q581" i="1"/>
  <c r="P581" i="1"/>
  <c r="O581" i="1"/>
  <c r="R579" i="1"/>
  <c r="Q579" i="1"/>
  <c r="P579" i="1"/>
  <c r="O579" i="1"/>
  <c r="R576" i="1"/>
  <c r="Q576" i="1"/>
  <c r="P576" i="1"/>
  <c r="O576" i="1"/>
  <c r="R573" i="1"/>
  <c r="P573" i="1"/>
  <c r="R571" i="1"/>
  <c r="Q571" i="1"/>
  <c r="P571" i="1"/>
  <c r="O571" i="1"/>
  <c r="R569" i="1"/>
  <c r="Q569" i="1"/>
  <c r="P569" i="1"/>
  <c r="O569" i="1"/>
  <c r="R566" i="1"/>
  <c r="Q566" i="1"/>
  <c r="P566" i="1"/>
  <c r="O566" i="1"/>
  <c r="R562" i="1"/>
  <c r="Q562" i="1"/>
  <c r="P562" i="1"/>
  <c r="O562" i="1"/>
  <c r="R560" i="1"/>
  <c r="Q560" i="1"/>
  <c r="P560" i="1"/>
  <c r="O560" i="1"/>
  <c r="R559" i="1"/>
  <c r="Q559" i="1"/>
  <c r="P559" i="1"/>
  <c r="O559" i="1"/>
  <c r="R558" i="1"/>
  <c r="Q558" i="1"/>
  <c r="P558" i="1"/>
  <c r="O558" i="1"/>
  <c r="R556" i="1"/>
  <c r="Q556" i="1"/>
  <c r="P556" i="1"/>
  <c r="O556" i="1"/>
  <c r="R555" i="1"/>
  <c r="Q555" i="1"/>
  <c r="P555" i="1"/>
  <c r="O555" i="1"/>
  <c r="R554" i="1"/>
  <c r="Q554" i="1"/>
  <c r="P554" i="1"/>
  <c r="O554" i="1"/>
  <c r="R552" i="1"/>
  <c r="Q552" i="1"/>
  <c r="P552" i="1"/>
  <c r="O552" i="1"/>
  <c r="R551" i="1"/>
  <c r="Q551" i="1"/>
  <c r="P551" i="1"/>
  <c r="O551" i="1"/>
  <c r="R550" i="1"/>
  <c r="Q550" i="1"/>
  <c r="P550" i="1"/>
  <c r="O550" i="1"/>
  <c r="R549" i="1"/>
  <c r="Q549" i="1"/>
  <c r="P549" i="1"/>
  <c r="O549" i="1"/>
  <c r="R547" i="1"/>
  <c r="Q547" i="1"/>
  <c r="P547" i="1"/>
  <c r="O547" i="1"/>
  <c r="R546" i="1"/>
  <c r="Q546" i="1"/>
  <c r="P546" i="1"/>
  <c r="O546" i="1"/>
  <c r="R545" i="1"/>
  <c r="Q545" i="1"/>
  <c r="P545" i="1"/>
  <c r="O545" i="1"/>
  <c r="R544" i="1"/>
  <c r="Q544" i="1"/>
  <c r="P544" i="1"/>
  <c r="O544" i="1"/>
  <c r="R542" i="1"/>
  <c r="Q542" i="1"/>
  <c r="P542" i="1"/>
  <c r="O542" i="1"/>
  <c r="R541" i="1"/>
  <c r="Q541" i="1"/>
  <c r="P541" i="1"/>
  <c r="O541" i="1"/>
  <c r="R540" i="1"/>
  <c r="Q540" i="1"/>
  <c r="P540" i="1"/>
  <c r="O540" i="1"/>
  <c r="R539" i="1"/>
  <c r="Q539" i="1"/>
  <c r="P539" i="1"/>
  <c r="O539" i="1"/>
  <c r="R538" i="1"/>
  <c r="Q538" i="1"/>
  <c r="P538" i="1"/>
  <c r="O538" i="1"/>
  <c r="R537" i="1"/>
  <c r="Q537" i="1"/>
  <c r="P537" i="1"/>
  <c r="O537" i="1"/>
  <c r="R536" i="1"/>
  <c r="Q536" i="1"/>
  <c r="P536" i="1"/>
  <c r="O536" i="1"/>
  <c r="R534" i="1"/>
  <c r="Q534" i="1"/>
  <c r="P534" i="1"/>
  <c r="O534" i="1"/>
  <c r="R533" i="1"/>
  <c r="Q533" i="1"/>
  <c r="P533" i="1"/>
  <c r="O533" i="1"/>
  <c r="R532" i="1"/>
  <c r="Q532" i="1"/>
  <c r="P532" i="1"/>
  <c r="O532" i="1"/>
  <c r="R531" i="1"/>
  <c r="Q531" i="1"/>
  <c r="P531" i="1"/>
  <c r="O531" i="1"/>
  <c r="R529" i="1"/>
  <c r="Q529" i="1"/>
  <c r="P529" i="1"/>
  <c r="O529" i="1"/>
  <c r="R526" i="1"/>
  <c r="Q526" i="1"/>
  <c r="P526" i="1"/>
  <c r="O526" i="1"/>
  <c r="R524" i="1"/>
  <c r="Q524" i="1"/>
  <c r="P524" i="1"/>
  <c r="O524" i="1"/>
  <c r="R521" i="1"/>
  <c r="P521" i="1"/>
  <c r="R520" i="1"/>
  <c r="P520" i="1"/>
  <c r="R519" i="1"/>
  <c r="P519" i="1"/>
  <c r="R518" i="1"/>
  <c r="Q518" i="1"/>
  <c r="P518" i="1"/>
  <c r="O518" i="1"/>
  <c r="R517" i="1"/>
  <c r="Q517" i="1"/>
  <c r="P517" i="1"/>
  <c r="O517" i="1"/>
  <c r="R515" i="1"/>
  <c r="Q515" i="1"/>
  <c r="P515" i="1"/>
  <c r="O515" i="1"/>
  <c r="R514" i="1"/>
  <c r="Q514" i="1"/>
  <c r="P514" i="1"/>
  <c r="O514" i="1"/>
  <c r="R513" i="1"/>
  <c r="Q513" i="1"/>
  <c r="P513" i="1"/>
  <c r="O513" i="1"/>
  <c r="R512" i="1"/>
  <c r="Q512" i="1"/>
  <c r="P512" i="1"/>
  <c r="O512" i="1"/>
  <c r="R511" i="1"/>
  <c r="Q511" i="1"/>
  <c r="P511" i="1"/>
  <c r="O511" i="1"/>
  <c r="R510" i="1"/>
  <c r="Q510" i="1"/>
  <c r="P510" i="1"/>
  <c r="O510" i="1"/>
  <c r="R508" i="1"/>
  <c r="Q508" i="1"/>
  <c r="P508" i="1"/>
  <c r="O508" i="1"/>
  <c r="R507" i="1"/>
  <c r="Q507" i="1"/>
  <c r="P507" i="1"/>
  <c r="O507" i="1"/>
  <c r="R506" i="1"/>
  <c r="Q506" i="1"/>
  <c r="P506" i="1"/>
  <c r="O506" i="1"/>
  <c r="R505" i="1"/>
  <c r="Q505" i="1"/>
  <c r="P505" i="1"/>
  <c r="O505" i="1"/>
  <c r="R504" i="1"/>
  <c r="Q504" i="1"/>
  <c r="P504" i="1"/>
  <c r="O504" i="1"/>
  <c r="R503" i="1"/>
  <c r="Q503" i="1"/>
  <c r="P503" i="1"/>
  <c r="O503" i="1"/>
  <c r="R502" i="1"/>
  <c r="Q502" i="1"/>
  <c r="P502" i="1"/>
  <c r="O502" i="1"/>
  <c r="R500" i="1"/>
  <c r="Q500" i="1"/>
  <c r="P500" i="1"/>
  <c r="O500" i="1"/>
  <c r="R496" i="1"/>
  <c r="Q496" i="1"/>
  <c r="P496" i="1"/>
  <c r="O496" i="1"/>
  <c r="R495" i="1"/>
  <c r="Q495" i="1"/>
  <c r="P495" i="1"/>
  <c r="O495" i="1"/>
  <c r="R494" i="1"/>
  <c r="Q494" i="1"/>
  <c r="P494" i="1"/>
  <c r="O494" i="1"/>
  <c r="R492" i="1"/>
  <c r="Q492" i="1"/>
  <c r="P492" i="1"/>
  <c r="O492" i="1"/>
  <c r="R491" i="1"/>
  <c r="Q491" i="1"/>
  <c r="P491" i="1"/>
  <c r="O491" i="1"/>
  <c r="R490" i="1"/>
  <c r="Q490" i="1"/>
  <c r="P490" i="1"/>
  <c r="O490" i="1"/>
  <c r="R488" i="1"/>
  <c r="Q488" i="1"/>
  <c r="P488" i="1"/>
  <c r="O488" i="1"/>
  <c r="R486" i="1"/>
  <c r="Q486" i="1"/>
  <c r="P486" i="1"/>
  <c r="O486" i="1"/>
  <c r="R484" i="1"/>
  <c r="Q484" i="1"/>
  <c r="P484" i="1"/>
  <c r="O484" i="1"/>
  <c r="R482" i="1"/>
  <c r="Q482" i="1"/>
  <c r="P482" i="1"/>
  <c r="O482" i="1"/>
  <c r="R480" i="1"/>
  <c r="Q480" i="1"/>
  <c r="P480" i="1"/>
  <c r="O480" i="1"/>
  <c r="R478" i="1"/>
  <c r="Q478" i="1"/>
  <c r="P478" i="1"/>
  <c r="O478" i="1"/>
  <c r="R476" i="1"/>
  <c r="Q476" i="1"/>
  <c r="P476" i="1"/>
  <c r="O476" i="1"/>
  <c r="R474" i="1"/>
  <c r="Q474" i="1"/>
  <c r="P474" i="1"/>
  <c r="O474" i="1"/>
  <c r="R472" i="1"/>
  <c r="Q472" i="1"/>
  <c r="P472" i="1"/>
  <c r="O472" i="1"/>
  <c r="R471" i="1"/>
  <c r="Q471" i="1"/>
  <c r="P471" i="1"/>
  <c r="O471" i="1"/>
  <c r="R469" i="1"/>
  <c r="Q469" i="1"/>
  <c r="P469" i="1"/>
  <c r="O469" i="1"/>
  <c r="R467" i="1"/>
  <c r="Q467" i="1"/>
  <c r="P467" i="1"/>
  <c r="O467" i="1"/>
  <c r="R465" i="1"/>
  <c r="Q465" i="1"/>
  <c r="P465" i="1"/>
  <c r="O465" i="1"/>
  <c r="R464" i="1"/>
  <c r="Q464" i="1"/>
  <c r="P464" i="1"/>
  <c r="O464" i="1"/>
  <c r="R463" i="1"/>
  <c r="Q463" i="1"/>
  <c r="P463" i="1"/>
  <c r="O463" i="1"/>
  <c r="R462" i="1"/>
  <c r="Q462" i="1"/>
  <c r="P462" i="1"/>
  <c r="O462" i="1"/>
  <c r="R460" i="1"/>
  <c r="Q460" i="1"/>
  <c r="P460" i="1"/>
  <c r="O460" i="1"/>
  <c r="R459" i="1"/>
  <c r="Q459" i="1"/>
  <c r="P459" i="1"/>
  <c r="O459" i="1"/>
  <c r="R458" i="1"/>
  <c r="Q458" i="1"/>
  <c r="P458" i="1"/>
  <c r="O458" i="1"/>
  <c r="R457" i="1"/>
  <c r="Q457" i="1"/>
  <c r="P457" i="1"/>
  <c r="O457" i="1"/>
  <c r="R456" i="1"/>
  <c r="Q456" i="1"/>
  <c r="P456" i="1"/>
  <c r="O456" i="1"/>
  <c r="R455" i="1"/>
  <c r="Q455" i="1"/>
  <c r="P455" i="1"/>
  <c r="O455" i="1"/>
  <c r="R454" i="1"/>
  <c r="Q454" i="1"/>
  <c r="P454" i="1"/>
  <c r="O454" i="1"/>
  <c r="R453" i="1"/>
  <c r="Q453" i="1"/>
  <c r="P453" i="1"/>
  <c r="O453" i="1"/>
  <c r="R452" i="1"/>
  <c r="Q452" i="1"/>
  <c r="P452" i="1"/>
  <c r="O452" i="1"/>
  <c r="R451" i="1"/>
  <c r="Q451" i="1"/>
  <c r="P451" i="1"/>
  <c r="O451" i="1"/>
  <c r="R450" i="1"/>
  <c r="Q450" i="1"/>
  <c r="P450" i="1"/>
  <c r="O450" i="1"/>
  <c r="R449" i="1"/>
  <c r="Q449" i="1"/>
  <c r="P449" i="1"/>
  <c r="O449" i="1"/>
  <c r="R448" i="1"/>
  <c r="Q448" i="1"/>
  <c r="P448" i="1"/>
  <c r="O448" i="1"/>
  <c r="R447" i="1"/>
  <c r="Q447" i="1"/>
  <c r="P447" i="1"/>
  <c r="O447" i="1"/>
  <c r="R445" i="1"/>
  <c r="Q445" i="1"/>
  <c r="P445" i="1"/>
  <c r="O445" i="1"/>
  <c r="R443" i="1"/>
  <c r="Q443" i="1"/>
  <c r="P443" i="1"/>
  <c r="O443" i="1"/>
  <c r="R442" i="1"/>
  <c r="Q442" i="1"/>
  <c r="P442" i="1"/>
  <c r="O442" i="1"/>
  <c r="R441" i="1"/>
  <c r="Q441" i="1"/>
  <c r="P441" i="1"/>
  <c r="O441" i="1"/>
  <c r="R439" i="1"/>
  <c r="Q439" i="1"/>
  <c r="P439" i="1"/>
  <c r="O439" i="1"/>
  <c r="R438" i="1"/>
  <c r="Q438" i="1"/>
  <c r="P438" i="1"/>
  <c r="O438" i="1"/>
  <c r="R436" i="1"/>
  <c r="Q436" i="1"/>
  <c r="P436" i="1"/>
  <c r="O436" i="1"/>
  <c r="R433" i="1"/>
  <c r="P433" i="1"/>
  <c r="R432" i="1"/>
  <c r="Q432" i="1"/>
  <c r="P432" i="1"/>
  <c r="O432" i="1"/>
  <c r="R430" i="1"/>
  <c r="Q430" i="1"/>
  <c r="P430" i="1"/>
  <c r="O430" i="1"/>
  <c r="R428" i="1"/>
  <c r="Q428" i="1"/>
  <c r="P428" i="1"/>
  <c r="O428" i="1"/>
  <c r="R425" i="1"/>
  <c r="P425" i="1"/>
  <c r="R424" i="1"/>
  <c r="P424" i="1"/>
  <c r="R423" i="1"/>
  <c r="Q423" i="1"/>
  <c r="P423" i="1"/>
  <c r="O423" i="1"/>
  <c r="R422" i="1"/>
  <c r="Q422" i="1"/>
  <c r="P422" i="1"/>
  <c r="O422" i="1"/>
  <c r="R421" i="1"/>
  <c r="Q421" i="1"/>
  <c r="P421" i="1"/>
  <c r="O421" i="1"/>
  <c r="R418" i="1"/>
  <c r="P418" i="1"/>
  <c r="R417" i="1"/>
  <c r="Q417" i="1"/>
  <c r="P417" i="1"/>
  <c r="O417" i="1"/>
  <c r="R416" i="1"/>
  <c r="Q416" i="1"/>
  <c r="P416" i="1"/>
  <c r="O416" i="1"/>
  <c r="R415" i="1"/>
  <c r="Q415" i="1"/>
  <c r="P415" i="1"/>
  <c r="O415" i="1"/>
  <c r="R414" i="1"/>
  <c r="Q414" i="1"/>
  <c r="P414" i="1"/>
  <c r="O414" i="1"/>
  <c r="R413" i="1"/>
  <c r="Q413" i="1"/>
  <c r="P413" i="1"/>
  <c r="O413" i="1"/>
  <c r="R412" i="1"/>
  <c r="Q412" i="1"/>
  <c r="P412" i="1"/>
  <c r="O412" i="1"/>
  <c r="R410" i="1"/>
  <c r="Q410" i="1"/>
  <c r="P410" i="1"/>
  <c r="O410" i="1"/>
  <c r="R407" i="1"/>
  <c r="Q407" i="1"/>
  <c r="P407" i="1"/>
  <c r="O407" i="1"/>
  <c r="R405" i="1"/>
  <c r="Q405" i="1"/>
  <c r="P405" i="1"/>
  <c r="O405" i="1"/>
  <c r="R401" i="1"/>
  <c r="Q401" i="1"/>
  <c r="P401" i="1"/>
  <c r="O401" i="1"/>
  <c r="R400" i="1"/>
  <c r="Q400" i="1"/>
  <c r="P400" i="1"/>
  <c r="O400" i="1"/>
  <c r="R399" i="1"/>
  <c r="Q399" i="1"/>
  <c r="P399" i="1"/>
  <c r="O399" i="1"/>
  <c r="R398" i="1"/>
  <c r="Q398" i="1"/>
  <c r="P398" i="1"/>
  <c r="O398" i="1"/>
  <c r="R397" i="1"/>
  <c r="Q397" i="1"/>
  <c r="P397" i="1"/>
  <c r="O397" i="1"/>
  <c r="R394" i="1"/>
  <c r="Q394" i="1"/>
  <c r="P394" i="1"/>
  <c r="O394" i="1"/>
  <c r="R391" i="1"/>
  <c r="Q391" i="1"/>
  <c r="P391" i="1"/>
  <c r="O391" i="1"/>
  <c r="R387" i="1"/>
  <c r="Q387" i="1"/>
  <c r="P387" i="1"/>
  <c r="O387" i="1"/>
  <c r="R386" i="1"/>
  <c r="Q386" i="1"/>
  <c r="P386" i="1"/>
  <c r="O386" i="1"/>
  <c r="R383" i="1"/>
  <c r="Q383" i="1"/>
  <c r="P383" i="1"/>
  <c r="O383" i="1"/>
  <c r="R381" i="1"/>
  <c r="Q381" i="1"/>
  <c r="P381" i="1"/>
  <c r="O381" i="1"/>
  <c r="R379" i="1"/>
  <c r="Q379" i="1"/>
  <c r="P379" i="1"/>
  <c r="O379" i="1"/>
  <c r="R376" i="1"/>
  <c r="P376" i="1"/>
  <c r="R375" i="1"/>
  <c r="Q375" i="1"/>
  <c r="P375" i="1"/>
  <c r="O375" i="1"/>
  <c r="R374" i="1"/>
  <c r="Q374" i="1"/>
  <c r="P374" i="1"/>
  <c r="O374" i="1"/>
  <c r="R371" i="1"/>
  <c r="Q371" i="1"/>
  <c r="P371" i="1"/>
  <c r="O371" i="1"/>
  <c r="R370" i="1"/>
  <c r="Q370" i="1"/>
  <c r="P370" i="1"/>
  <c r="O370" i="1"/>
  <c r="R368" i="1"/>
  <c r="Q368" i="1"/>
  <c r="P368" i="1"/>
  <c r="O368" i="1"/>
  <c r="R366" i="1"/>
  <c r="Q366" i="1"/>
  <c r="P366" i="1"/>
  <c r="O366" i="1"/>
  <c r="R364" i="1"/>
  <c r="Q364" i="1"/>
  <c r="P364" i="1"/>
  <c r="O364" i="1"/>
  <c r="R362" i="1"/>
  <c r="Q362" i="1"/>
  <c r="P362" i="1"/>
  <c r="O362" i="1"/>
  <c r="R360" i="1"/>
  <c r="Q360" i="1"/>
  <c r="P360" i="1"/>
  <c r="O360" i="1"/>
  <c r="R357" i="1"/>
  <c r="P357" i="1"/>
  <c r="R356" i="1"/>
  <c r="P356" i="1"/>
  <c r="R355" i="1"/>
  <c r="Q355" i="1"/>
  <c r="P355" i="1"/>
  <c r="O355" i="1"/>
  <c r="R354" i="1"/>
  <c r="Q354" i="1"/>
  <c r="P354" i="1"/>
  <c r="O354" i="1"/>
  <c r="R353" i="1"/>
  <c r="Q353" i="1"/>
  <c r="P353" i="1"/>
  <c r="O353" i="1"/>
  <c r="R352" i="1"/>
  <c r="Q352" i="1"/>
  <c r="P352" i="1"/>
  <c r="O352" i="1"/>
  <c r="R350" i="1"/>
  <c r="Q350" i="1"/>
  <c r="P350" i="1"/>
  <c r="O350" i="1"/>
  <c r="R348" i="1"/>
  <c r="Q348" i="1"/>
  <c r="P348" i="1"/>
  <c r="O348" i="1"/>
  <c r="R346" i="1"/>
  <c r="Q346" i="1"/>
  <c r="P346" i="1"/>
  <c r="O346" i="1"/>
  <c r="R344" i="1"/>
  <c r="Q344" i="1"/>
  <c r="P344" i="1"/>
  <c r="O344" i="1"/>
  <c r="R342" i="1"/>
  <c r="Q342" i="1"/>
  <c r="P342" i="1"/>
  <c r="O342" i="1"/>
  <c r="R340" i="1"/>
  <c r="Q340" i="1"/>
  <c r="P340" i="1"/>
  <c r="O340" i="1"/>
  <c r="R338" i="1"/>
  <c r="Q338" i="1"/>
  <c r="P338" i="1"/>
  <c r="O338" i="1"/>
  <c r="R336" i="1"/>
  <c r="Q336" i="1"/>
  <c r="P336" i="1"/>
  <c r="O336" i="1"/>
  <c r="R334" i="1"/>
  <c r="Q334" i="1"/>
  <c r="P334" i="1"/>
  <c r="O334" i="1"/>
  <c r="R332" i="1"/>
  <c r="Q332" i="1"/>
  <c r="P332" i="1"/>
  <c r="O332" i="1"/>
  <c r="R328" i="1"/>
  <c r="Q328" i="1"/>
  <c r="P328" i="1"/>
  <c r="O328" i="1"/>
  <c r="R327" i="1"/>
  <c r="Q327" i="1"/>
  <c r="P327" i="1"/>
  <c r="O327" i="1"/>
  <c r="R326" i="1"/>
  <c r="Q326" i="1"/>
  <c r="P326" i="1"/>
  <c r="O326" i="1"/>
  <c r="R325" i="1"/>
  <c r="Q325" i="1"/>
  <c r="P325" i="1"/>
  <c r="O325" i="1"/>
  <c r="R324" i="1"/>
  <c r="Q324" i="1"/>
  <c r="P324" i="1"/>
  <c r="O324" i="1"/>
  <c r="R322" i="1"/>
  <c r="Q322" i="1"/>
  <c r="P322" i="1"/>
  <c r="O322" i="1"/>
  <c r="R321" i="1"/>
  <c r="Q321" i="1"/>
  <c r="P321" i="1"/>
  <c r="O321" i="1"/>
  <c r="R319" i="1"/>
  <c r="Q319" i="1"/>
  <c r="P319" i="1"/>
  <c r="O319" i="1"/>
  <c r="R318" i="1"/>
  <c r="Q318" i="1"/>
  <c r="P318" i="1"/>
  <c r="O318" i="1"/>
  <c r="R317" i="1"/>
  <c r="Q317" i="1"/>
  <c r="P317" i="1"/>
  <c r="O317" i="1"/>
  <c r="R316" i="1"/>
  <c r="Q316" i="1"/>
  <c r="P316" i="1"/>
  <c r="O316" i="1"/>
  <c r="R315" i="1"/>
  <c r="Q315" i="1"/>
  <c r="P315" i="1"/>
  <c r="O315" i="1"/>
  <c r="R314" i="1"/>
  <c r="Q314" i="1"/>
  <c r="P314" i="1"/>
  <c r="O314" i="1"/>
  <c r="R313" i="1"/>
  <c r="Q313" i="1"/>
  <c r="P313" i="1"/>
  <c r="O313" i="1"/>
  <c r="R312" i="1"/>
  <c r="Q312" i="1"/>
  <c r="P312" i="1"/>
  <c r="O312" i="1"/>
  <c r="R311" i="1"/>
  <c r="Q311" i="1"/>
  <c r="P311" i="1"/>
  <c r="O311" i="1"/>
  <c r="R310" i="1"/>
  <c r="Q310" i="1"/>
  <c r="P310" i="1"/>
  <c r="O310" i="1"/>
  <c r="R309" i="1"/>
  <c r="Q309" i="1"/>
  <c r="P309" i="1"/>
  <c r="O309" i="1"/>
  <c r="R308" i="1"/>
  <c r="Q308" i="1"/>
  <c r="P308" i="1"/>
  <c r="O308" i="1"/>
  <c r="R306" i="1"/>
  <c r="Q306" i="1"/>
  <c r="P306" i="1"/>
  <c r="O306" i="1"/>
  <c r="R305" i="1"/>
  <c r="Q305" i="1"/>
  <c r="P305" i="1"/>
  <c r="O305" i="1"/>
  <c r="R302" i="1"/>
  <c r="Q302" i="1"/>
  <c r="P302" i="1"/>
  <c r="O302" i="1"/>
  <c r="R300" i="1"/>
  <c r="Q300" i="1"/>
  <c r="P300" i="1"/>
  <c r="O300" i="1"/>
  <c r="R298" i="1"/>
  <c r="Q298" i="1"/>
  <c r="P298" i="1"/>
  <c r="O298" i="1"/>
  <c r="R297" i="1"/>
  <c r="Q297" i="1"/>
  <c r="P297" i="1"/>
  <c r="O297" i="1"/>
  <c r="R296" i="1"/>
  <c r="Q296" i="1"/>
  <c r="P296" i="1"/>
  <c r="O296" i="1"/>
  <c r="R295" i="1"/>
  <c r="Q295" i="1"/>
  <c r="P295" i="1"/>
  <c r="O295" i="1"/>
  <c r="R294" i="1"/>
  <c r="Q294" i="1"/>
  <c r="P294" i="1"/>
  <c r="O294" i="1"/>
  <c r="R293" i="1"/>
  <c r="Q293" i="1"/>
  <c r="P293" i="1"/>
  <c r="O293" i="1"/>
  <c r="R292" i="1"/>
  <c r="Q292" i="1"/>
  <c r="P292" i="1"/>
  <c r="O292" i="1"/>
  <c r="R291" i="1"/>
  <c r="Q291" i="1"/>
  <c r="P291" i="1"/>
  <c r="O291" i="1"/>
  <c r="R290" i="1"/>
  <c r="Q290" i="1"/>
  <c r="P290" i="1"/>
  <c r="O290" i="1"/>
  <c r="R289" i="1"/>
  <c r="Q289" i="1"/>
  <c r="P289" i="1"/>
  <c r="O289" i="1"/>
  <c r="R288" i="1"/>
  <c r="Q288" i="1"/>
  <c r="P288" i="1"/>
  <c r="O288" i="1"/>
  <c r="R287" i="1"/>
  <c r="Q287" i="1"/>
  <c r="P287" i="1"/>
  <c r="O287" i="1"/>
  <c r="R285" i="1"/>
  <c r="Q285" i="1"/>
  <c r="P285" i="1"/>
  <c r="O285" i="1"/>
  <c r="R284" i="1"/>
  <c r="Q284" i="1"/>
  <c r="P284" i="1"/>
  <c r="O284" i="1"/>
  <c r="R283" i="1"/>
  <c r="Q283" i="1"/>
  <c r="P283" i="1"/>
  <c r="O283" i="1"/>
  <c r="R281" i="1"/>
  <c r="Q281" i="1"/>
  <c r="P281" i="1"/>
  <c r="O281" i="1"/>
  <c r="R280" i="1"/>
  <c r="Q280" i="1"/>
  <c r="P280" i="1"/>
  <c r="O280" i="1"/>
  <c r="R279" i="1"/>
  <c r="Q279" i="1"/>
  <c r="P279" i="1"/>
  <c r="O279" i="1"/>
  <c r="R278" i="1"/>
  <c r="Q278" i="1"/>
  <c r="P278" i="1"/>
  <c r="O278" i="1"/>
  <c r="R277" i="1"/>
  <c r="Q277" i="1"/>
  <c r="P277" i="1"/>
  <c r="O277" i="1"/>
  <c r="R276" i="1"/>
  <c r="Q276" i="1"/>
  <c r="P276" i="1"/>
  <c r="O276" i="1"/>
  <c r="R275" i="1"/>
  <c r="Q275" i="1"/>
  <c r="P275" i="1"/>
  <c r="O275" i="1"/>
  <c r="R274" i="1"/>
  <c r="Q274" i="1"/>
  <c r="P274" i="1"/>
  <c r="O274" i="1"/>
  <c r="R272" i="1"/>
  <c r="Q272" i="1"/>
  <c r="P272" i="1"/>
  <c r="O272" i="1"/>
  <c r="R270" i="1"/>
  <c r="Q270" i="1"/>
  <c r="P270" i="1"/>
  <c r="O270" i="1"/>
  <c r="R269" i="1"/>
  <c r="Q269" i="1"/>
  <c r="P269" i="1"/>
  <c r="O269" i="1"/>
  <c r="R268" i="1"/>
  <c r="Q268" i="1"/>
  <c r="P268" i="1"/>
  <c r="O268" i="1"/>
  <c r="R267" i="1"/>
  <c r="Q267" i="1"/>
  <c r="P267" i="1"/>
  <c r="O267" i="1"/>
  <c r="R266" i="1"/>
  <c r="Q266" i="1"/>
  <c r="P266" i="1"/>
  <c r="O266" i="1"/>
  <c r="R264" i="1"/>
  <c r="Q264" i="1"/>
  <c r="P264" i="1"/>
  <c r="O264" i="1"/>
  <c r="R263" i="1"/>
  <c r="Q263" i="1"/>
  <c r="P263" i="1"/>
  <c r="O263" i="1"/>
  <c r="R262" i="1"/>
  <c r="Q262" i="1"/>
  <c r="P262" i="1"/>
  <c r="O262" i="1"/>
  <c r="R260" i="1"/>
  <c r="Q260" i="1"/>
  <c r="P260" i="1"/>
  <c r="O260" i="1"/>
  <c r="R258" i="1"/>
  <c r="Q258" i="1"/>
  <c r="P258" i="1"/>
  <c r="O258" i="1"/>
  <c r="R255" i="1"/>
  <c r="Q255" i="1"/>
  <c r="P255" i="1"/>
  <c r="O255" i="1"/>
  <c r="R254" i="1"/>
  <c r="Q254" i="1"/>
  <c r="P254" i="1"/>
  <c r="O254" i="1"/>
  <c r="R251" i="1"/>
  <c r="Q251" i="1"/>
  <c r="P251" i="1"/>
  <c r="O251" i="1"/>
  <c r="R249" i="1"/>
  <c r="Q249" i="1"/>
  <c r="P249" i="1"/>
  <c r="O249" i="1"/>
  <c r="R248" i="1"/>
  <c r="Q248" i="1"/>
  <c r="P248" i="1"/>
  <c r="O248" i="1"/>
  <c r="R246" i="1"/>
  <c r="Q246" i="1"/>
  <c r="P246" i="1"/>
  <c r="O246" i="1"/>
  <c r="R244" i="1"/>
  <c r="Q244" i="1"/>
  <c r="P244" i="1"/>
  <c r="O244" i="1"/>
  <c r="R243" i="1"/>
  <c r="Q243" i="1"/>
  <c r="P243" i="1"/>
  <c r="O243" i="1"/>
  <c r="R240" i="1"/>
  <c r="Q240" i="1"/>
  <c r="P240" i="1"/>
  <c r="O240" i="1"/>
  <c r="R239" i="1"/>
  <c r="Q239" i="1"/>
  <c r="P239" i="1"/>
  <c r="O239" i="1"/>
  <c r="R237" i="1"/>
  <c r="Q237" i="1"/>
  <c r="P237" i="1"/>
  <c r="O237" i="1"/>
  <c r="R236" i="1"/>
  <c r="Q236" i="1"/>
  <c r="P236" i="1"/>
  <c r="O236" i="1"/>
  <c r="R235" i="1"/>
  <c r="Q235" i="1"/>
  <c r="P235" i="1"/>
  <c r="O235" i="1"/>
  <c r="R234" i="1"/>
  <c r="Q234" i="1"/>
  <c r="P234" i="1"/>
  <c r="O234" i="1"/>
  <c r="R233" i="1"/>
  <c r="Q233" i="1"/>
  <c r="P233" i="1"/>
  <c r="O233" i="1"/>
  <c r="R232" i="1"/>
  <c r="Q232" i="1"/>
  <c r="P232" i="1"/>
  <c r="O232" i="1"/>
  <c r="R231" i="1"/>
  <c r="Q231" i="1"/>
  <c r="P231" i="1"/>
  <c r="O231" i="1"/>
  <c r="R230" i="1"/>
  <c r="Q230" i="1"/>
  <c r="P230" i="1"/>
  <c r="O230" i="1"/>
  <c r="R229" i="1"/>
  <c r="Q229" i="1"/>
  <c r="P229" i="1"/>
  <c r="O229" i="1"/>
  <c r="R227" i="1"/>
  <c r="Q227" i="1"/>
  <c r="P227" i="1"/>
  <c r="O227" i="1"/>
  <c r="R226" i="1"/>
  <c r="Q226" i="1"/>
  <c r="P226" i="1"/>
  <c r="O226" i="1"/>
  <c r="R225" i="1"/>
  <c r="Q225" i="1"/>
  <c r="P225" i="1"/>
  <c r="O225" i="1"/>
  <c r="R223" i="1"/>
  <c r="Q223" i="1"/>
  <c r="P223" i="1"/>
  <c r="O223" i="1"/>
  <c r="R219" i="1"/>
  <c r="Q219" i="1"/>
  <c r="P219" i="1"/>
  <c r="O219" i="1"/>
  <c r="R217" i="1"/>
  <c r="Q217" i="1"/>
  <c r="P217" i="1"/>
  <c r="O217" i="1"/>
  <c r="R216" i="1"/>
  <c r="Q216" i="1"/>
  <c r="P216" i="1"/>
  <c r="O216" i="1"/>
  <c r="R215" i="1"/>
  <c r="Q215" i="1"/>
  <c r="P215" i="1"/>
  <c r="O215" i="1"/>
  <c r="R213" i="1"/>
  <c r="Q213" i="1"/>
  <c r="P213" i="1"/>
  <c r="O213" i="1"/>
  <c r="R212" i="1"/>
  <c r="Q212" i="1"/>
  <c r="P212" i="1"/>
  <c r="O212" i="1"/>
  <c r="R211" i="1"/>
  <c r="Q211" i="1"/>
  <c r="P211" i="1"/>
  <c r="O211" i="1"/>
  <c r="R210" i="1"/>
  <c r="Q210" i="1"/>
  <c r="P210" i="1"/>
  <c r="O210" i="1"/>
  <c r="R207" i="1"/>
  <c r="Q207" i="1"/>
  <c r="P207" i="1"/>
  <c r="O207" i="1"/>
  <c r="R206" i="1"/>
  <c r="Q206" i="1"/>
  <c r="P206" i="1"/>
  <c r="O206" i="1"/>
  <c r="R205" i="1"/>
  <c r="Q205" i="1"/>
  <c r="P205" i="1"/>
  <c r="O205" i="1"/>
  <c r="R204" i="1"/>
  <c r="Q204" i="1"/>
  <c r="P204" i="1"/>
  <c r="O204" i="1"/>
  <c r="R203" i="1"/>
  <c r="Q203" i="1"/>
  <c r="P203" i="1"/>
  <c r="O203" i="1"/>
  <c r="R202" i="1"/>
  <c r="Q202" i="1"/>
  <c r="P202" i="1"/>
  <c r="O202" i="1"/>
  <c r="R201" i="1"/>
  <c r="Q201" i="1"/>
  <c r="P201" i="1"/>
  <c r="O201" i="1"/>
  <c r="R200" i="1"/>
  <c r="Q200" i="1"/>
  <c r="P200" i="1"/>
  <c r="O200" i="1"/>
  <c r="R199" i="1"/>
  <c r="Q199" i="1"/>
  <c r="P199" i="1"/>
  <c r="O199" i="1"/>
  <c r="R198" i="1"/>
  <c r="Q198" i="1"/>
  <c r="P198" i="1"/>
  <c r="O198" i="1"/>
  <c r="R197" i="1"/>
  <c r="Q197" i="1"/>
  <c r="P197" i="1"/>
  <c r="O197" i="1"/>
  <c r="R196" i="1"/>
  <c r="Q196" i="1"/>
  <c r="P196" i="1"/>
  <c r="O196" i="1"/>
  <c r="R195" i="1"/>
  <c r="Q195" i="1"/>
  <c r="P195" i="1"/>
  <c r="O195" i="1"/>
  <c r="R194" i="1"/>
  <c r="Q194" i="1"/>
  <c r="P194" i="1"/>
  <c r="O194" i="1"/>
  <c r="R193" i="1"/>
  <c r="Q193" i="1"/>
  <c r="P193" i="1"/>
  <c r="O193" i="1"/>
  <c r="R192" i="1"/>
  <c r="Q192" i="1"/>
  <c r="P192" i="1"/>
  <c r="O192" i="1"/>
  <c r="R191" i="1"/>
  <c r="Q191" i="1"/>
  <c r="P191" i="1"/>
  <c r="O191" i="1"/>
  <c r="R190" i="1"/>
  <c r="Q190" i="1"/>
  <c r="P190" i="1"/>
  <c r="O190" i="1"/>
  <c r="R188" i="1"/>
  <c r="Q188" i="1"/>
  <c r="P188" i="1"/>
  <c r="O188" i="1"/>
  <c r="R186" i="1"/>
  <c r="Q186" i="1"/>
  <c r="P186" i="1"/>
  <c r="O186" i="1"/>
  <c r="R185" i="1"/>
  <c r="Q185" i="1"/>
  <c r="P185" i="1"/>
  <c r="O185" i="1"/>
  <c r="R184" i="1"/>
  <c r="Q184" i="1"/>
  <c r="P184" i="1"/>
  <c r="O184" i="1"/>
  <c r="R181" i="1"/>
  <c r="P181" i="1"/>
  <c r="R180" i="1"/>
  <c r="Q180" i="1"/>
  <c r="P180" i="1"/>
  <c r="O180" i="1"/>
  <c r="R179" i="1"/>
  <c r="Q179" i="1"/>
  <c r="P179" i="1"/>
  <c r="O179" i="1"/>
  <c r="R178" i="1"/>
  <c r="Q178" i="1"/>
  <c r="P178" i="1"/>
  <c r="O178" i="1"/>
  <c r="R176" i="1"/>
  <c r="Q176" i="1"/>
  <c r="P176" i="1"/>
  <c r="O176" i="1"/>
  <c r="R175" i="1"/>
  <c r="Q175" i="1"/>
  <c r="P175" i="1"/>
  <c r="O175" i="1"/>
  <c r="R174" i="1"/>
  <c r="Q174" i="1"/>
  <c r="P174" i="1"/>
  <c r="O174" i="1"/>
  <c r="R173" i="1"/>
  <c r="Q173" i="1"/>
  <c r="P173" i="1"/>
  <c r="O173" i="1"/>
  <c r="R171" i="1"/>
  <c r="Q171" i="1"/>
  <c r="P171" i="1"/>
  <c r="O171" i="1"/>
  <c r="R168" i="1"/>
  <c r="Q168" i="1"/>
  <c r="P168" i="1"/>
  <c r="O168" i="1"/>
  <c r="R167" i="1"/>
  <c r="Q167" i="1"/>
  <c r="P167" i="1"/>
  <c r="O167" i="1"/>
  <c r="R165" i="1"/>
  <c r="Q165" i="1"/>
  <c r="P165" i="1"/>
  <c r="O165" i="1"/>
  <c r="R163" i="1"/>
  <c r="Q163" i="1"/>
  <c r="P163" i="1"/>
  <c r="O163" i="1"/>
  <c r="R162" i="1"/>
  <c r="Q162" i="1"/>
  <c r="P162" i="1"/>
  <c r="O162" i="1"/>
  <c r="R161" i="1"/>
  <c r="Q161" i="1"/>
  <c r="P161" i="1"/>
  <c r="O161" i="1"/>
  <c r="R160" i="1"/>
  <c r="Q160" i="1"/>
  <c r="P160" i="1"/>
  <c r="O160" i="1"/>
  <c r="R159" i="1"/>
  <c r="Q159" i="1"/>
  <c r="P159" i="1"/>
  <c r="O159" i="1"/>
  <c r="R158" i="1"/>
  <c r="Q158" i="1"/>
  <c r="P158" i="1"/>
  <c r="O158" i="1"/>
  <c r="R156" i="1"/>
  <c r="Q156" i="1"/>
  <c r="P156" i="1"/>
  <c r="O156" i="1"/>
  <c r="R154" i="1"/>
  <c r="Q154" i="1"/>
  <c r="P154" i="1"/>
  <c r="O154" i="1"/>
  <c r="R153" i="1"/>
  <c r="Q153" i="1"/>
  <c r="P153" i="1"/>
  <c r="O153" i="1"/>
  <c r="R152" i="1"/>
  <c r="Q152" i="1"/>
  <c r="P152" i="1"/>
  <c r="O152" i="1"/>
  <c r="R150" i="1"/>
  <c r="Q150" i="1"/>
  <c r="P150" i="1"/>
  <c r="O150" i="1"/>
  <c r="R148" i="1"/>
  <c r="Q148" i="1"/>
  <c r="P148" i="1"/>
  <c r="O148" i="1"/>
  <c r="R147" i="1"/>
  <c r="Q147" i="1"/>
  <c r="P147" i="1"/>
  <c r="O147" i="1"/>
  <c r="R146" i="1"/>
  <c r="Q146" i="1"/>
  <c r="P146" i="1"/>
  <c r="O146" i="1"/>
  <c r="R145" i="1"/>
  <c r="Q145" i="1"/>
  <c r="P145" i="1"/>
  <c r="O145" i="1"/>
  <c r="R144" i="1"/>
  <c r="Q144" i="1"/>
  <c r="P144" i="1"/>
  <c r="O144" i="1"/>
  <c r="R143" i="1"/>
  <c r="Q143" i="1"/>
  <c r="P143" i="1"/>
  <c r="O143" i="1"/>
  <c r="R142" i="1"/>
  <c r="Q142" i="1"/>
  <c r="P142" i="1"/>
  <c r="O142" i="1"/>
  <c r="R141" i="1"/>
  <c r="Q141" i="1"/>
  <c r="P141" i="1"/>
  <c r="O141" i="1"/>
  <c r="R140" i="1"/>
  <c r="Q140" i="1"/>
  <c r="P140" i="1"/>
  <c r="O140" i="1"/>
  <c r="R138" i="1"/>
  <c r="Q138" i="1"/>
  <c r="P138" i="1"/>
  <c r="O138" i="1"/>
  <c r="R137" i="1"/>
  <c r="Q137" i="1"/>
  <c r="P137" i="1"/>
  <c r="O137" i="1"/>
  <c r="R136" i="1"/>
  <c r="Q136" i="1"/>
  <c r="P136" i="1"/>
  <c r="O136" i="1"/>
  <c r="R135" i="1"/>
  <c r="Q135" i="1"/>
  <c r="P135" i="1"/>
  <c r="O135" i="1"/>
  <c r="R134" i="1"/>
  <c r="Q134" i="1"/>
  <c r="P134" i="1"/>
  <c r="O134" i="1"/>
  <c r="R132" i="1"/>
  <c r="Q132" i="1"/>
  <c r="P132" i="1"/>
  <c r="O132" i="1"/>
  <c r="R131" i="1"/>
  <c r="Q131" i="1"/>
  <c r="P131" i="1"/>
  <c r="O131" i="1"/>
  <c r="R130" i="1"/>
  <c r="Q130" i="1"/>
  <c r="P130" i="1"/>
  <c r="O130" i="1"/>
  <c r="R128" i="1"/>
  <c r="Q128" i="1"/>
  <c r="P128" i="1"/>
  <c r="O128" i="1"/>
  <c r="R127" i="1"/>
  <c r="Q127" i="1"/>
  <c r="P127" i="1"/>
  <c r="O127" i="1"/>
  <c r="R126" i="1"/>
  <c r="Q126" i="1"/>
  <c r="P126" i="1"/>
  <c r="O126" i="1"/>
  <c r="R125" i="1"/>
  <c r="Q125" i="1"/>
  <c r="P125" i="1"/>
  <c r="O125" i="1"/>
  <c r="R124" i="1"/>
  <c r="Q124" i="1"/>
  <c r="P124" i="1"/>
  <c r="O124" i="1"/>
  <c r="R123" i="1"/>
  <c r="Q123" i="1"/>
  <c r="P123" i="1"/>
  <c r="O123" i="1"/>
  <c r="R122" i="1"/>
  <c r="Q122" i="1"/>
  <c r="P122" i="1"/>
  <c r="O122" i="1"/>
  <c r="R121" i="1"/>
  <c r="Q121" i="1"/>
  <c r="P121" i="1"/>
  <c r="O121" i="1"/>
  <c r="R119" i="1"/>
  <c r="Q119" i="1"/>
  <c r="P119" i="1"/>
  <c r="O119" i="1"/>
  <c r="R118" i="1"/>
  <c r="Q118" i="1"/>
  <c r="P118" i="1"/>
  <c r="O118" i="1"/>
  <c r="R117" i="1"/>
  <c r="Q117" i="1"/>
  <c r="P117" i="1"/>
  <c r="O117" i="1"/>
  <c r="R116" i="1"/>
  <c r="Q116" i="1"/>
  <c r="P116" i="1"/>
  <c r="O116" i="1"/>
  <c r="R115" i="1"/>
  <c r="Q115" i="1"/>
  <c r="P115" i="1"/>
  <c r="O115" i="1"/>
  <c r="R114" i="1"/>
  <c r="Q114" i="1"/>
  <c r="P114" i="1"/>
  <c r="O114" i="1"/>
  <c r="R112" i="1"/>
  <c r="Q112" i="1"/>
  <c r="P112" i="1"/>
  <c r="O112" i="1"/>
  <c r="R111" i="1"/>
  <c r="Q111" i="1"/>
  <c r="P111" i="1"/>
  <c r="O111" i="1"/>
  <c r="R110" i="1"/>
  <c r="Q110" i="1"/>
  <c r="P110" i="1"/>
  <c r="O110" i="1"/>
  <c r="R109" i="1"/>
  <c r="Q109" i="1"/>
  <c r="P109" i="1"/>
  <c r="O109" i="1"/>
  <c r="R107" i="1"/>
  <c r="Q107" i="1"/>
  <c r="P107" i="1"/>
  <c r="O107" i="1"/>
  <c r="R106" i="1"/>
  <c r="Q106" i="1"/>
  <c r="P106" i="1"/>
  <c r="O106" i="1"/>
  <c r="R105" i="1"/>
  <c r="Q105" i="1"/>
  <c r="P105" i="1"/>
  <c r="O105" i="1"/>
  <c r="R104" i="1"/>
  <c r="Q104" i="1"/>
  <c r="P104" i="1"/>
  <c r="O104" i="1"/>
  <c r="R103" i="1"/>
  <c r="Q103" i="1"/>
  <c r="P103" i="1"/>
  <c r="O103" i="1"/>
  <c r="R102" i="1"/>
  <c r="Q102" i="1"/>
  <c r="P102" i="1"/>
  <c r="O102" i="1"/>
  <c r="R101" i="1"/>
  <c r="Q101" i="1"/>
  <c r="P101" i="1"/>
  <c r="O101" i="1"/>
  <c r="R100" i="1"/>
  <c r="Q100" i="1"/>
  <c r="P100" i="1"/>
  <c r="O100" i="1"/>
  <c r="R99" i="1"/>
  <c r="Q99" i="1"/>
  <c r="P99" i="1"/>
  <c r="O99" i="1"/>
  <c r="R98" i="1"/>
  <c r="Q98" i="1"/>
  <c r="P98" i="1"/>
  <c r="O98" i="1"/>
  <c r="R96" i="1"/>
  <c r="Q96" i="1"/>
  <c r="P96" i="1"/>
  <c r="O96" i="1"/>
  <c r="R95" i="1"/>
  <c r="Q95" i="1"/>
  <c r="P95" i="1"/>
  <c r="O95" i="1"/>
  <c r="R94" i="1"/>
  <c r="Q94" i="1"/>
  <c r="P94" i="1"/>
  <c r="O94" i="1"/>
  <c r="R93" i="1"/>
  <c r="Q93" i="1"/>
  <c r="P93" i="1"/>
  <c r="O93" i="1"/>
  <c r="R92" i="1"/>
  <c r="Q92" i="1"/>
  <c r="P92" i="1"/>
  <c r="O92" i="1"/>
  <c r="R91" i="1"/>
  <c r="Q91" i="1"/>
  <c r="P91" i="1"/>
  <c r="O91" i="1"/>
  <c r="R90" i="1"/>
  <c r="Q90" i="1"/>
  <c r="P90" i="1"/>
  <c r="O90" i="1"/>
  <c r="R89" i="1"/>
  <c r="Q89" i="1"/>
  <c r="P89" i="1"/>
  <c r="O89" i="1"/>
  <c r="R88" i="1"/>
  <c r="Q88" i="1"/>
  <c r="P88" i="1"/>
  <c r="O88" i="1"/>
  <c r="R87" i="1"/>
  <c r="Q87" i="1"/>
  <c r="P87" i="1"/>
  <c r="O87" i="1"/>
  <c r="R86" i="1"/>
  <c r="Q86" i="1"/>
  <c r="P86" i="1"/>
  <c r="O86" i="1"/>
  <c r="R85" i="1"/>
  <c r="Q85" i="1"/>
  <c r="P85" i="1"/>
  <c r="O85" i="1"/>
  <c r="R84" i="1"/>
  <c r="Q84" i="1"/>
  <c r="P84" i="1"/>
  <c r="O84" i="1"/>
  <c r="R83" i="1"/>
  <c r="Q83" i="1"/>
  <c r="P83" i="1"/>
  <c r="O83" i="1"/>
  <c r="R82" i="1"/>
  <c r="Q82" i="1"/>
  <c r="P82" i="1"/>
  <c r="O82" i="1"/>
  <c r="R81" i="1"/>
  <c r="Q81" i="1"/>
  <c r="P81" i="1"/>
  <c r="O81" i="1"/>
  <c r="R80" i="1"/>
  <c r="Q80" i="1"/>
  <c r="P80" i="1"/>
  <c r="O80" i="1"/>
  <c r="R79" i="1"/>
  <c r="Q79" i="1"/>
  <c r="P79" i="1"/>
  <c r="O79" i="1"/>
  <c r="R78" i="1"/>
  <c r="Q78" i="1"/>
  <c r="P78" i="1"/>
  <c r="O78" i="1"/>
  <c r="R77" i="1"/>
  <c r="Q77" i="1"/>
  <c r="P77" i="1"/>
  <c r="O77" i="1"/>
  <c r="R76" i="1"/>
  <c r="Q76" i="1"/>
  <c r="P76" i="1"/>
  <c r="O76" i="1"/>
  <c r="R75" i="1"/>
  <c r="Q75" i="1"/>
  <c r="P75" i="1"/>
  <c r="O75" i="1"/>
  <c r="R74" i="1"/>
  <c r="Q74" i="1"/>
  <c r="P74" i="1"/>
  <c r="O74" i="1"/>
  <c r="R73" i="1"/>
  <c r="Q73" i="1"/>
  <c r="P73" i="1"/>
  <c r="O73" i="1"/>
  <c r="R72" i="1"/>
  <c r="Q72" i="1"/>
  <c r="P72" i="1"/>
  <c r="O72" i="1"/>
  <c r="R71" i="1"/>
  <c r="Q71" i="1"/>
  <c r="P71" i="1"/>
  <c r="O71" i="1"/>
  <c r="R70" i="1"/>
  <c r="Q70" i="1"/>
  <c r="P70" i="1"/>
  <c r="O70" i="1"/>
  <c r="R69" i="1"/>
  <c r="Q69" i="1"/>
  <c r="P69" i="1"/>
  <c r="O69" i="1"/>
  <c r="R68" i="1"/>
  <c r="Q68" i="1"/>
  <c r="P68" i="1"/>
  <c r="O68" i="1"/>
  <c r="R67" i="1"/>
  <c r="Q67" i="1"/>
  <c r="P67" i="1"/>
  <c r="O67" i="1"/>
  <c r="R66" i="1"/>
  <c r="Q66" i="1"/>
  <c r="P66" i="1"/>
  <c r="O66" i="1"/>
  <c r="R65" i="1"/>
  <c r="Q65" i="1"/>
  <c r="P65" i="1"/>
  <c r="O65" i="1"/>
  <c r="R64" i="1"/>
  <c r="Q64" i="1"/>
  <c r="P64" i="1"/>
  <c r="O64" i="1"/>
  <c r="R63" i="1"/>
  <c r="Q63" i="1"/>
  <c r="P63" i="1"/>
  <c r="O63" i="1"/>
  <c r="R62" i="1"/>
  <c r="Q62" i="1"/>
  <c r="P62" i="1"/>
  <c r="O62" i="1"/>
  <c r="R61" i="1"/>
  <c r="Q61" i="1"/>
  <c r="P61" i="1"/>
  <c r="O61" i="1"/>
  <c r="R60" i="1"/>
  <c r="Q60" i="1"/>
  <c r="P60" i="1"/>
  <c r="O60" i="1"/>
  <c r="R59" i="1"/>
  <c r="Q59" i="1"/>
  <c r="P59" i="1"/>
  <c r="O59" i="1"/>
  <c r="R58" i="1"/>
  <c r="Q58" i="1"/>
  <c r="P58" i="1"/>
  <c r="O58" i="1"/>
  <c r="R57" i="1"/>
  <c r="Q57" i="1"/>
  <c r="P57" i="1"/>
  <c r="O57" i="1"/>
  <c r="R56" i="1"/>
  <c r="Q56" i="1"/>
  <c r="P56" i="1"/>
  <c r="O56" i="1"/>
  <c r="R55" i="1"/>
  <c r="Q55" i="1"/>
  <c r="P55" i="1"/>
  <c r="O55" i="1"/>
  <c r="R54" i="1"/>
  <c r="Q54" i="1"/>
  <c r="P54" i="1"/>
  <c r="O54" i="1"/>
  <c r="R53" i="1"/>
  <c r="Q53" i="1"/>
  <c r="P53" i="1"/>
  <c r="O53" i="1"/>
  <c r="R52" i="1"/>
  <c r="Q52" i="1"/>
  <c r="P52" i="1"/>
  <c r="O52" i="1"/>
  <c r="R51" i="1"/>
  <c r="Q51" i="1"/>
  <c r="P51" i="1"/>
  <c r="O51" i="1"/>
  <c r="R50" i="1"/>
  <c r="Q50" i="1"/>
  <c r="P50" i="1"/>
  <c r="O50" i="1"/>
  <c r="R49" i="1"/>
  <c r="Q49" i="1"/>
  <c r="P49" i="1"/>
  <c r="O49" i="1"/>
  <c r="R48" i="1"/>
  <c r="Q48" i="1"/>
  <c r="P48" i="1"/>
  <c r="O48" i="1"/>
  <c r="R46" i="1"/>
  <c r="Q46" i="1"/>
  <c r="P46" i="1"/>
  <c r="O46" i="1"/>
  <c r="R45" i="1"/>
  <c r="Q45" i="1"/>
  <c r="P45" i="1"/>
  <c r="O45" i="1"/>
  <c r="R43" i="1"/>
  <c r="Q43" i="1"/>
  <c r="P43" i="1"/>
  <c r="O43" i="1"/>
  <c r="R42" i="1"/>
  <c r="Q42" i="1"/>
  <c r="P42" i="1"/>
  <c r="O42" i="1"/>
  <c r="R41" i="1"/>
  <c r="Q41" i="1"/>
  <c r="P41" i="1"/>
  <c r="O41" i="1"/>
  <c r="R40" i="1"/>
  <c r="Q40" i="1"/>
  <c r="P40" i="1"/>
  <c r="O40" i="1"/>
  <c r="R39" i="1"/>
  <c r="Q39" i="1"/>
  <c r="P39" i="1"/>
  <c r="O39" i="1"/>
  <c r="R38" i="1"/>
  <c r="Q38" i="1"/>
  <c r="P38" i="1"/>
  <c r="O38" i="1"/>
  <c r="R37" i="1"/>
  <c r="Q37" i="1"/>
  <c r="P37" i="1"/>
  <c r="O37" i="1"/>
  <c r="R36" i="1"/>
  <c r="Q36" i="1"/>
  <c r="P36" i="1"/>
  <c r="O36" i="1"/>
  <c r="R35" i="1"/>
  <c r="Q35" i="1"/>
  <c r="P35" i="1"/>
  <c r="O35" i="1"/>
  <c r="R34" i="1"/>
  <c r="Q34" i="1"/>
  <c r="P34" i="1"/>
  <c r="O34" i="1"/>
  <c r="R33" i="1"/>
  <c r="Q33" i="1"/>
  <c r="P33" i="1"/>
  <c r="O33" i="1"/>
  <c r="R32" i="1"/>
  <c r="Q32" i="1"/>
  <c r="P32" i="1"/>
  <c r="O32" i="1"/>
  <c r="R31" i="1"/>
  <c r="Q31" i="1"/>
  <c r="P31" i="1"/>
  <c r="O31" i="1"/>
  <c r="R30" i="1"/>
  <c r="Q30" i="1"/>
  <c r="P30" i="1"/>
  <c r="O30" i="1"/>
  <c r="R29" i="1"/>
  <c r="Q29" i="1"/>
  <c r="P29" i="1"/>
  <c r="O29" i="1"/>
  <c r="R28" i="1"/>
  <c r="Q28" i="1"/>
  <c r="P28" i="1"/>
  <c r="O28" i="1"/>
  <c r="R27" i="1"/>
  <c r="Q27" i="1"/>
  <c r="P27" i="1"/>
  <c r="O27" i="1"/>
  <c r="R26" i="1"/>
  <c r="Q26" i="1"/>
  <c r="P26" i="1"/>
  <c r="O26" i="1"/>
  <c r="R24" i="1"/>
  <c r="Q24" i="1"/>
  <c r="P24" i="1"/>
  <c r="O24" i="1"/>
  <c r="R23" i="1"/>
  <c r="Q23" i="1"/>
  <c r="P23" i="1"/>
  <c r="O23" i="1"/>
  <c r="R22" i="1"/>
  <c r="Q22" i="1"/>
  <c r="P22" i="1"/>
  <c r="O22" i="1"/>
  <c r="R21" i="1"/>
  <c r="Q21" i="1"/>
  <c r="P21" i="1"/>
  <c r="O21" i="1"/>
  <c r="R19" i="1"/>
  <c r="Q19" i="1"/>
  <c r="P19" i="1"/>
  <c r="O19" i="1"/>
  <c r="R17" i="1"/>
  <c r="Q17" i="1"/>
  <c r="P17" i="1"/>
  <c r="O17" i="1"/>
  <c r="R15" i="1"/>
  <c r="Q15" i="1"/>
  <c r="P15" i="1"/>
  <c r="O15" i="1"/>
  <c r="L113" i="1" l="1"/>
  <c r="S113" i="1" l="1"/>
  <c r="T113" i="1"/>
  <c r="R120" i="1"/>
  <c r="Q120" i="1"/>
  <c r="P120" i="1"/>
  <c r="O120" i="1"/>
  <c r="R113" i="1"/>
  <c r="Q113" i="1"/>
  <c r="P113" i="1"/>
  <c r="O113" i="1"/>
  <c r="L133" i="1"/>
  <c r="S133" i="1" l="1"/>
  <c r="T133" i="1"/>
  <c r="R133" i="1"/>
  <c r="P133" i="1"/>
  <c r="O133" i="1"/>
  <c r="Q133" i="1"/>
  <c r="L675" i="1" l="1"/>
  <c r="S675" i="1" l="1"/>
  <c r="T675" i="1"/>
  <c r="R675" i="1"/>
  <c r="Q675" i="1"/>
  <c r="P675" i="1"/>
  <c r="O675" i="1"/>
  <c r="L307" i="1"/>
  <c r="S307" i="1" l="1"/>
  <c r="T307" i="1"/>
  <c r="R307" i="1"/>
  <c r="Q307" i="1"/>
  <c r="P307" i="1"/>
  <c r="O307" i="1"/>
  <c r="P228" i="1" l="1"/>
  <c r="R228" i="1"/>
  <c r="Q228" i="1"/>
  <c r="O228" i="1"/>
  <c r="L242" i="1"/>
  <c r="L817" i="1" l="1"/>
  <c r="S817" i="1" l="1"/>
  <c r="T817" i="1"/>
  <c r="R817" i="1"/>
  <c r="P817" i="1"/>
  <c r="O817" i="1"/>
  <c r="Q817" i="1"/>
  <c r="P304" i="1" l="1"/>
  <c r="R304" i="1"/>
  <c r="Q304" i="1"/>
  <c r="O304" i="1"/>
  <c r="L297" i="3"/>
  <c r="J297" i="3"/>
  <c r="I297" i="3"/>
  <c r="H297" i="3"/>
  <c r="G297" i="3"/>
  <c r="K297" i="3" l="1"/>
  <c r="K834" i="1"/>
  <c r="L834" i="1"/>
  <c r="S834" i="1" s="1"/>
  <c r="K829" i="1"/>
  <c r="L829" i="1"/>
  <c r="S829" i="1" s="1"/>
  <c r="L827" i="1"/>
  <c r="L824" i="1"/>
  <c r="L816" i="1"/>
  <c r="S816" i="1" s="1"/>
  <c r="L806" i="1"/>
  <c r="L803" i="1"/>
  <c r="L800" i="1"/>
  <c r="K794" i="1"/>
  <c r="L794" i="1"/>
  <c r="S794" i="1" s="1"/>
  <c r="L792" i="1"/>
  <c r="L785" i="1"/>
  <c r="L760" i="1"/>
  <c r="S760" i="1" s="1"/>
  <c r="L755" i="1"/>
  <c r="L746" i="1"/>
  <c r="L744" i="1"/>
  <c r="L739" i="1"/>
  <c r="L737" i="1"/>
  <c r="S737" i="1" s="1"/>
  <c r="L732" i="1"/>
  <c r="L725" i="1"/>
  <c r="L722" i="1"/>
  <c r="L716" i="1"/>
  <c r="K709" i="1"/>
  <c r="L709" i="1"/>
  <c r="S709" i="1" s="1"/>
  <c r="K707" i="1"/>
  <c r="L707" i="1"/>
  <c r="S707" i="1" s="1"/>
  <c r="L705" i="1"/>
  <c r="L697" i="1"/>
  <c r="L677" i="1"/>
  <c r="L674" i="1"/>
  <c r="L670" i="1"/>
  <c r="L664" i="1"/>
  <c r="L662" i="1"/>
  <c r="L659" i="1"/>
  <c r="L654" i="1"/>
  <c r="L651" i="1"/>
  <c r="L640" i="1"/>
  <c r="L633" i="1"/>
  <c r="L629" i="1"/>
  <c r="L622" i="1"/>
  <c r="S622" i="1" s="1"/>
  <c r="K594" i="1"/>
  <c r="L594" i="1"/>
  <c r="S594" i="1" s="1"/>
  <c r="K591" i="1"/>
  <c r="L591" i="1"/>
  <c r="S591" i="1" s="1"/>
  <c r="L585" i="1"/>
  <c r="L582" i="1"/>
  <c r="L580" i="1"/>
  <c r="L578" i="1"/>
  <c r="L570" i="1"/>
  <c r="L568" i="1"/>
  <c r="L565" i="1"/>
  <c r="L561" i="1"/>
  <c r="L557" i="1"/>
  <c r="L553" i="1"/>
  <c r="L548" i="1"/>
  <c r="S548" i="1" s="1"/>
  <c r="L543" i="1"/>
  <c r="L535" i="1"/>
  <c r="L530" i="1"/>
  <c r="L528" i="1"/>
  <c r="L525" i="1"/>
  <c r="L523" i="1"/>
  <c r="L516" i="1"/>
  <c r="L509" i="1"/>
  <c r="L501" i="1"/>
  <c r="L499" i="1"/>
  <c r="L493" i="1"/>
  <c r="L489" i="1"/>
  <c r="L487" i="1"/>
  <c r="L485" i="1"/>
  <c r="L483" i="1"/>
  <c r="L481" i="1"/>
  <c r="L479" i="1"/>
  <c r="L477" i="1"/>
  <c r="L475" i="1"/>
  <c r="L473" i="1"/>
  <c r="L470" i="1"/>
  <c r="L468" i="1"/>
  <c r="L466" i="1"/>
  <c r="L461" i="1"/>
  <c r="L446" i="1"/>
  <c r="L444" i="1"/>
  <c r="L440" i="1"/>
  <c r="L437" i="1"/>
  <c r="L435" i="1"/>
  <c r="L431" i="1"/>
  <c r="L429" i="1"/>
  <c r="L427" i="1"/>
  <c r="L420" i="1"/>
  <c r="L411" i="1"/>
  <c r="L409" i="1"/>
  <c r="L406" i="1"/>
  <c r="L404" i="1"/>
  <c r="L396" i="1"/>
  <c r="L393" i="1"/>
  <c r="L390" i="1"/>
  <c r="L385" i="1"/>
  <c r="L382" i="1"/>
  <c r="L380" i="1"/>
  <c r="S380" i="1" s="1"/>
  <c r="L378" i="1"/>
  <c r="L373" i="1"/>
  <c r="L369" i="1"/>
  <c r="L367" i="1"/>
  <c r="L365" i="1"/>
  <c r="L363" i="1"/>
  <c r="S363" i="1" s="1"/>
  <c r="L361" i="1"/>
  <c r="S361" i="1" s="1"/>
  <c r="L359" i="1"/>
  <c r="L351" i="1"/>
  <c r="L349" i="1"/>
  <c r="L347" i="1"/>
  <c r="L345" i="1"/>
  <c r="L343" i="1"/>
  <c r="L341" i="1"/>
  <c r="L339" i="1"/>
  <c r="L337" i="1"/>
  <c r="L335" i="1"/>
  <c r="L333" i="1"/>
  <c r="L331" i="1"/>
  <c r="L323" i="1"/>
  <c r="L320" i="1"/>
  <c r="S320" i="1" s="1"/>
  <c r="L303" i="1"/>
  <c r="S303" i="1" s="1"/>
  <c r="L301" i="1"/>
  <c r="S301" i="1" s="1"/>
  <c r="L299" i="1"/>
  <c r="S299" i="1" s="1"/>
  <c r="L286" i="1"/>
  <c r="S286" i="1" s="1"/>
  <c r="L282" i="1"/>
  <c r="S282" i="1" s="1"/>
  <c r="L273" i="1"/>
  <c r="S273" i="1" s="1"/>
  <c r="L271" i="1"/>
  <c r="S271" i="1" s="1"/>
  <c r="L265" i="1"/>
  <c r="S265" i="1" s="1"/>
  <c r="L261" i="1"/>
  <c r="L259" i="1"/>
  <c r="L257" i="1"/>
  <c r="L253" i="1"/>
  <c r="L250" i="1"/>
  <c r="L247" i="1"/>
  <c r="L245" i="1"/>
  <c r="L238" i="1"/>
  <c r="L224" i="1"/>
  <c r="S224" i="1" s="1"/>
  <c r="L222" i="1"/>
  <c r="L218" i="1"/>
  <c r="L214" i="1"/>
  <c r="S214" i="1" s="1"/>
  <c r="L209" i="1"/>
  <c r="S209" i="1" s="1"/>
  <c r="L189" i="1"/>
  <c r="S189" i="1" s="1"/>
  <c r="L187" i="1"/>
  <c r="L177" i="1"/>
  <c r="L172" i="1"/>
  <c r="L170" i="1"/>
  <c r="L166" i="1"/>
  <c r="L164" i="1"/>
  <c r="L157" i="1"/>
  <c r="L155" i="1"/>
  <c r="L151" i="1"/>
  <c r="S151" i="1" s="1"/>
  <c r="L149" i="1"/>
  <c r="S149" i="1" s="1"/>
  <c r="L139" i="1"/>
  <c r="S139" i="1" s="1"/>
  <c r="L129" i="1"/>
  <c r="S129" i="1" s="1"/>
  <c r="L108" i="1"/>
  <c r="S108" i="1" s="1"/>
  <c r="L97" i="1"/>
  <c r="S97" i="1" s="1"/>
  <c r="T47" i="1"/>
  <c r="L44" i="1"/>
  <c r="S44" i="1" s="1"/>
  <c r="L20" i="1"/>
  <c r="L18" i="1"/>
  <c r="L14" i="1"/>
  <c r="L16" i="1"/>
  <c r="T591" i="1" l="1"/>
  <c r="T594" i="1"/>
  <c r="T707" i="1"/>
  <c r="T794" i="1"/>
  <c r="T829" i="1"/>
  <c r="H19" i="5"/>
  <c r="S664" i="1"/>
  <c r="T709" i="1"/>
  <c r="T834" i="1"/>
  <c r="L815" i="1"/>
  <c r="L169" i="1"/>
  <c r="L182" i="1"/>
  <c r="L256" i="1"/>
  <c r="L704" i="1"/>
  <c r="L731" i="1"/>
  <c r="L252" i="1"/>
  <c r="L724" i="1"/>
  <c r="L384" i="1"/>
  <c r="L419" i="1"/>
  <c r="L389" i="1"/>
  <c r="L799" i="1"/>
  <c r="L392" i="1"/>
  <c r="L802" i="1"/>
  <c r="L696" i="1"/>
  <c r="L395" i="1"/>
  <c r="L584" i="1"/>
  <c r="L715" i="1"/>
  <c r="L805" i="1"/>
  <c r="L372" i="1"/>
  <c r="L721" i="1"/>
  <c r="L577" i="1"/>
  <c r="L241" i="1"/>
  <c r="L522" i="1"/>
  <c r="L734" i="1"/>
  <c r="L567" i="1"/>
  <c r="L673" i="1"/>
  <c r="L408" i="1"/>
  <c r="L743" i="1"/>
  <c r="L621" i="1"/>
  <c r="L527" i="1"/>
  <c r="L498" i="1"/>
  <c r="L403" i="1"/>
  <c r="L377" i="1"/>
  <c r="L426" i="1"/>
  <c r="L221" i="1"/>
  <c r="L434" i="1"/>
  <c r="L358" i="1"/>
  <c r="L330" i="1"/>
  <c r="L208" i="1"/>
  <c r="L13" i="1"/>
  <c r="G783" i="3"/>
  <c r="G784" i="3"/>
  <c r="G785" i="3"/>
  <c r="G786" i="3"/>
  <c r="G787" i="3"/>
  <c r="G789" i="3"/>
  <c r="G790" i="3"/>
  <c r="G791" i="3"/>
  <c r="G792" i="3"/>
  <c r="L388" i="1" l="1"/>
  <c r="L797" i="1"/>
  <c r="L604" i="1"/>
  <c r="L813" i="1"/>
  <c r="L714" i="1"/>
  <c r="L220" i="1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80" i="3"/>
  <c r="L381" i="3"/>
  <c r="L382" i="3"/>
  <c r="L383" i="3"/>
  <c r="L384" i="3"/>
  <c r="L385" i="3"/>
  <c r="L386" i="3"/>
  <c r="L387" i="3"/>
  <c r="L388" i="3"/>
  <c r="L389" i="3"/>
  <c r="L390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2" i="3"/>
  <c r="L423" i="3"/>
  <c r="L424" i="3"/>
  <c r="L425" i="3"/>
  <c r="L426" i="3"/>
  <c r="L429" i="3"/>
  <c r="L430" i="3"/>
  <c r="L431" i="3"/>
  <c r="L432" i="3"/>
  <c r="L433" i="3"/>
  <c r="L434" i="3"/>
  <c r="L435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8" i="3"/>
  <c r="L569" i="3"/>
  <c r="L570" i="3"/>
  <c r="L571" i="3"/>
  <c r="L572" i="3"/>
  <c r="L573" i="3"/>
  <c r="L574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K442" i="3"/>
  <c r="K695" i="3"/>
  <c r="J20" i="3"/>
  <c r="J22" i="3"/>
  <c r="J24" i="3"/>
  <c r="J25" i="3"/>
  <c r="J26" i="3"/>
  <c r="J27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8" i="3"/>
  <c r="J49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1" i="3"/>
  <c r="J102" i="3"/>
  <c r="J103" i="3"/>
  <c r="J104" i="3"/>
  <c r="J105" i="3"/>
  <c r="J106" i="3"/>
  <c r="J107" i="3"/>
  <c r="J108" i="3"/>
  <c r="J109" i="3"/>
  <c r="J110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3" i="3"/>
  <c r="J134" i="3"/>
  <c r="J135" i="3"/>
  <c r="J136" i="3"/>
  <c r="J137" i="3"/>
  <c r="J138" i="3"/>
  <c r="J139" i="3"/>
  <c r="J140" i="3"/>
  <c r="J141" i="3"/>
  <c r="J143" i="3"/>
  <c r="J144" i="3"/>
  <c r="J145" i="3"/>
  <c r="J146" i="3"/>
  <c r="J147" i="3"/>
  <c r="J148" i="3"/>
  <c r="J149" i="3"/>
  <c r="J150" i="3"/>
  <c r="J151" i="3"/>
  <c r="J153" i="3"/>
  <c r="J155" i="3"/>
  <c r="J156" i="3"/>
  <c r="J157" i="3"/>
  <c r="J159" i="3"/>
  <c r="J161" i="3"/>
  <c r="J162" i="3"/>
  <c r="J163" i="3"/>
  <c r="J164" i="3"/>
  <c r="J165" i="3"/>
  <c r="J166" i="3"/>
  <c r="J168" i="3"/>
  <c r="J170" i="3"/>
  <c r="J171" i="3"/>
  <c r="J174" i="3"/>
  <c r="J176" i="3"/>
  <c r="J177" i="3"/>
  <c r="J178" i="3"/>
  <c r="J179" i="3"/>
  <c r="J181" i="3"/>
  <c r="J182" i="3"/>
  <c r="J183" i="3"/>
  <c r="J184" i="3"/>
  <c r="J187" i="3"/>
  <c r="J188" i="3"/>
  <c r="J189" i="3"/>
  <c r="J191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3" i="3"/>
  <c r="J214" i="3"/>
  <c r="J215" i="3"/>
  <c r="J216" i="3"/>
  <c r="J218" i="3"/>
  <c r="J219" i="3"/>
  <c r="J220" i="3"/>
  <c r="J222" i="3"/>
  <c r="J226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2" i="3"/>
  <c r="J243" i="3"/>
  <c r="J246" i="3"/>
  <c r="J247" i="3"/>
  <c r="J249" i="3"/>
  <c r="J251" i="3"/>
  <c r="J252" i="3"/>
  <c r="J254" i="3"/>
  <c r="J257" i="3"/>
  <c r="J258" i="3"/>
  <c r="J261" i="3"/>
  <c r="J263" i="3"/>
  <c r="J265" i="3"/>
  <c r="J266" i="3"/>
  <c r="J267" i="3"/>
  <c r="J269" i="3"/>
  <c r="J270" i="3"/>
  <c r="J271" i="3"/>
  <c r="J272" i="3"/>
  <c r="J273" i="3"/>
  <c r="J275" i="3"/>
  <c r="J277" i="3"/>
  <c r="J278" i="3"/>
  <c r="J279" i="3"/>
  <c r="J280" i="3"/>
  <c r="J281" i="3"/>
  <c r="J282" i="3"/>
  <c r="J283" i="3"/>
  <c r="J284" i="3"/>
  <c r="J286" i="3"/>
  <c r="J287" i="3"/>
  <c r="J288" i="3"/>
  <c r="J290" i="3"/>
  <c r="J291" i="3"/>
  <c r="J292" i="3"/>
  <c r="J293" i="3"/>
  <c r="J294" i="3"/>
  <c r="J295" i="3"/>
  <c r="J296" i="3"/>
  <c r="J298" i="3"/>
  <c r="J299" i="3"/>
  <c r="J300" i="3"/>
  <c r="J301" i="3"/>
  <c r="J303" i="3"/>
  <c r="J305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4" i="3"/>
  <c r="J325" i="3"/>
  <c r="J327" i="3"/>
  <c r="J328" i="3"/>
  <c r="J329" i="3"/>
  <c r="J330" i="3"/>
  <c r="J331" i="3"/>
  <c r="J335" i="3"/>
  <c r="J337" i="3"/>
  <c r="J339" i="3"/>
  <c r="J341" i="3"/>
  <c r="J343" i="3"/>
  <c r="J345" i="3"/>
  <c r="J347" i="3"/>
  <c r="J349" i="3"/>
  <c r="J351" i="3"/>
  <c r="J353" i="3"/>
  <c r="J355" i="3"/>
  <c r="J356" i="3"/>
  <c r="J357" i="3"/>
  <c r="J358" i="3"/>
  <c r="J359" i="3"/>
  <c r="J360" i="3"/>
  <c r="J363" i="3"/>
  <c r="J365" i="3"/>
  <c r="J367" i="3"/>
  <c r="J369" i="3"/>
  <c r="J371" i="3"/>
  <c r="J373" i="3"/>
  <c r="J374" i="3"/>
  <c r="J377" i="3"/>
  <c r="J378" i="3"/>
  <c r="J379" i="3"/>
  <c r="J382" i="3"/>
  <c r="J384" i="3"/>
  <c r="J386" i="3"/>
  <c r="J389" i="3"/>
  <c r="J390" i="3"/>
  <c r="J394" i="3"/>
  <c r="J397" i="3"/>
  <c r="J400" i="3"/>
  <c r="J401" i="3"/>
  <c r="J402" i="3"/>
  <c r="J403" i="3"/>
  <c r="J404" i="3"/>
  <c r="J408" i="3"/>
  <c r="J410" i="3"/>
  <c r="J413" i="3"/>
  <c r="J415" i="3"/>
  <c r="J416" i="3"/>
  <c r="J417" i="3"/>
  <c r="J418" i="3"/>
  <c r="J419" i="3"/>
  <c r="J420" i="3"/>
  <c r="J421" i="3"/>
  <c r="J424" i="3"/>
  <c r="J425" i="3"/>
  <c r="J426" i="3"/>
  <c r="J427" i="3"/>
  <c r="J428" i="3"/>
  <c r="J431" i="3"/>
  <c r="J433" i="3"/>
  <c r="J435" i="3"/>
  <c r="J436" i="3"/>
  <c r="J439" i="3"/>
  <c r="J441" i="3"/>
  <c r="J442" i="3"/>
  <c r="J444" i="3"/>
  <c r="J445" i="3"/>
  <c r="J446" i="3"/>
  <c r="J448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5" i="3"/>
  <c r="J466" i="3"/>
  <c r="J467" i="3"/>
  <c r="J468" i="3"/>
  <c r="J470" i="3"/>
  <c r="J472" i="3"/>
  <c r="J474" i="3"/>
  <c r="J475" i="3"/>
  <c r="J477" i="3"/>
  <c r="J479" i="3"/>
  <c r="J481" i="3"/>
  <c r="J483" i="3"/>
  <c r="J485" i="3"/>
  <c r="J487" i="3"/>
  <c r="J489" i="3"/>
  <c r="J491" i="3"/>
  <c r="J493" i="3"/>
  <c r="J494" i="3"/>
  <c r="J495" i="3"/>
  <c r="J497" i="3"/>
  <c r="J498" i="3"/>
  <c r="J499" i="3"/>
  <c r="J503" i="3"/>
  <c r="J505" i="3"/>
  <c r="J506" i="3"/>
  <c r="J507" i="3"/>
  <c r="J508" i="3"/>
  <c r="J509" i="3"/>
  <c r="J510" i="3"/>
  <c r="J511" i="3"/>
  <c r="J513" i="3"/>
  <c r="J514" i="3"/>
  <c r="J515" i="3"/>
  <c r="J516" i="3"/>
  <c r="J517" i="3"/>
  <c r="J518" i="3"/>
  <c r="J520" i="3"/>
  <c r="J521" i="3"/>
  <c r="J522" i="3"/>
  <c r="J523" i="3"/>
  <c r="J524" i="3"/>
  <c r="J527" i="3"/>
  <c r="J529" i="3"/>
  <c r="J532" i="3"/>
  <c r="J534" i="3"/>
  <c r="J535" i="3"/>
  <c r="J536" i="3"/>
  <c r="J537" i="3"/>
  <c r="J539" i="3"/>
  <c r="J540" i="3"/>
  <c r="J541" i="3"/>
  <c r="J542" i="3"/>
  <c r="J543" i="3"/>
  <c r="J544" i="3"/>
  <c r="J545" i="3"/>
  <c r="J547" i="3"/>
  <c r="J548" i="3"/>
  <c r="J549" i="3"/>
  <c r="J550" i="3"/>
  <c r="J552" i="3"/>
  <c r="J553" i="3"/>
  <c r="J554" i="3"/>
  <c r="J555" i="3"/>
  <c r="J557" i="3"/>
  <c r="J558" i="3"/>
  <c r="J559" i="3"/>
  <c r="J561" i="3"/>
  <c r="J562" i="3"/>
  <c r="J563" i="3"/>
  <c r="J565" i="3"/>
  <c r="J566" i="3"/>
  <c r="J569" i="3"/>
  <c r="J572" i="3"/>
  <c r="J574" i="3"/>
  <c r="J576" i="3"/>
  <c r="J579" i="3"/>
  <c r="J582" i="3"/>
  <c r="J584" i="3"/>
  <c r="J586" i="3"/>
  <c r="J589" i="3"/>
  <c r="J590" i="3"/>
  <c r="J591" i="3"/>
  <c r="J592" i="3"/>
  <c r="J593" i="3"/>
  <c r="J595" i="3"/>
  <c r="J596" i="3"/>
  <c r="J598" i="3"/>
  <c r="J599" i="3"/>
  <c r="J600" i="3"/>
  <c r="J601" i="3"/>
  <c r="J602" i="3"/>
  <c r="J603" i="3"/>
  <c r="J604" i="3"/>
  <c r="J605" i="3"/>
  <c r="J606" i="3"/>
  <c r="J610" i="3"/>
  <c r="J611" i="3"/>
  <c r="J612" i="3"/>
  <c r="J613" i="3"/>
  <c r="J614" i="3"/>
  <c r="J615" i="3"/>
  <c r="J616" i="3"/>
  <c r="J617" i="3"/>
  <c r="J618" i="3"/>
  <c r="J619" i="3"/>
  <c r="J620" i="3"/>
  <c r="J623" i="3"/>
  <c r="J626" i="3"/>
  <c r="J627" i="3"/>
  <c r="J628" i="3"/>
  <c r="J629" i="3"/>
  <c r="J630" i="3"/>
  <c r="J631" i="3"/>
  <c r="J633" i="3"/>
  <c r="J634" i="3"/>
  <c r="J635" i="3"/>
  <c r="J637" i="3"/>
  <c r="J638" i="3"/>
  <c r="J639" i="3"/>
  <c r="J640" i="3"/>
  <c r="J641" i="3"/>
  <c r="J642" i="3"/>
  <c r="J644" i="3"/>
  <c r="J645" i="3"/>
  <c r="J646" i="3"/>
  <c r="J647" i="3"/>
  <c r="J648" i="3"/>
  <c r="J649" i="3"/>
  <c r="J650" i="3"/>
  <c r="J651" i="3"/>
  <c r="J652" i="3"/>
  <c r="J653" i="3"/>
  <c r="J655" i="3"/>
  <c r="J656" i="3"/>
  <c r="J658" i="3"/>
  <c r="J659" i="3"/>
  <c r="J660" i="3"/>
  <c r="J661" i="3"/>
  <c r="J663" i="3"/>
  <c r="J664" i="3"/>
  <c r="J666" i="3"/>
  <c r="J668" i="3"/>
  <c r="J669" i="3"/>
  <c r="J670" i="3"/>
  <c r="J671" i="3"/>
  <c r="J672" i="3"/>
  <c r="J674" i="3"/>
  <c r="J675" i="3"/>
  <c r="J678" i="3"/>
  <c r="J679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701" i="3"/>
  <c r="J702" i="3"/>
  <c r="J703" i="3"/>
  <c r="J704" i="3"/>
  <c r="J705" i="3"/>
  <c r="J706" i="3"/>
  <c r="J709" i="3"/>
  <c r="J711" i="3"/>
  <c r="J713" i="3"/>
  <c r="J714" i="3"/>
  <c r="J715" i="3"/>
  <c r="J716" i="3"/>
  <c r="J720" i="3"/>
  <c r="J721" i="3"/>
  <c r="J722" i="3"/>
  <c r="J723" i="3"/>
  <c r="J726" i="3"/>
  <c r="J729" i="3"/>
  <c r="J730" i="3"/>
  <c r="J731" i="3"/>
  <c r="J732" i="3"/>
  <c r="J733" i="3"/>
  <c r="J736" i="3"/>
  <c r="J739" i="3"/>
  <c r="J741" i="3"/>
  <c r="J743" i="3"/>
  <c r="J744" i="3"/>
  <c r="J745" i="3"/>
  <c r="J748" i="3"/>
  <c r="J750" i="3"/>
  <c r="J751" i="3"/>
  <c r="J752" i="3"/>
  <c r="J753" i="3"/>
  <c r="J754" i="3"/>
  <c r="J755" i="3"/>
  <c r="J756" i="3"/>
  <c r="J757" i="3"/>
  <c r="J759" i="3"/>
  <c r="J760" i="3"/>
  <c r="J761" i="3"/>
  <c r="J762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9" i="3"/>
  <c r="J790" i="3"/>
  <c r="J791" i="3"/>
  <c r="J792" i="3"/>
  <c r="J793" i="3"/>
  <c r="J794" i="3"/>
  <c r="J796" i="3"/>
  <c r="J798" i="3"/>
  <c r="J799" i="3"/>
  <c r="J801" i="3"/>
  <c r="J804" i="3"/>
  <c r="J807" i="3"/>
  <c r="J810" i="3"/>
  <c r="J811" i="3"/>
  <c r="J812" i="3"/>
  <c r="J813" i="3"/>
  <c r="J814" i="3"/>
  <c r="J815" i="3"/>
  <c r="J817" i="3"/>
  <c r="J820" i="3"/>
  <c r="J821" i="3"/>
  <c r="J822" i="3"/>
  <c r="J823" i="3"/>
  <c r="J824" i="3"/>
  <c r="J825" i="3"/>
  <c r="J826" i="3"/>
  <c r="J828" i="3"/>
  <c r="J829" i="3"/>
  <c r="J831" i="3"/>
  <c r="J833" i="3"/>
  <c r="J834" i="3"/>
  <c r="J835" i="3"/>
  <c r="J836" i="3"/>
  <c r="J838" i="3"/>
  <c r="J839" i="3"/>
  <c r="J840" i="3"/>
  <c r="I20" i="3"/>
  <c r="I22" i="3"/>
  <c r="I24" i="3"/>
  <c r="I25" i="3"/>
  <c r="I26" i="3"/>
  <c r="I27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8" i="3"/>
  <c r="I49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1" i="3"/>
  <c r="I102" i="3"/>
  <c r="I103" i="3"/>
  <c r="I104" i="3"/>
  <c r="I105" i="3"/>
  <c r="I106" i="3"/>
  <c r="I107" i="3"/>
  <c r="I108" i="3"/>
  <c r="I109" i="3"/>
  <c r="I110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3" i="3"/>
  <c r="I134" i="3"/>
  <c r="I135" i="3"/>
  <c r="I136" i="3"/>
  <c r="I137" i="3"/>
  <c r="I138" i="3"/>
  <c r="I139" i="3"/>
  <c r="I140" i="3"/>
  <c r="I141" i="3"/>
  <c r="I143" i="3"/>
  <c r="I144" i="3"/>
  <c r="I145" i="3"/>
  <c r="I146" i="3"/>
  <c r="I147" i="3"/>
  <c r="I148" i="3"/>
  <c r="I149" i="3"/>
  <c r="I150" i="3"/>
  <c r="I151" i="3"/>
  <c r="I153" i="3"/>
  <c r="I155" i="3"/>
  <c r="I156" i="3"/>
  <c r="I157" i="3"/>
  <c r="I159" i="3"/>
  <c r="I161" i="3"/>
  <c r="I162" i="3"/>
  <c r="I163" i="3"/>
  <c r="I164" i="3"/>
  <c r="I165" i="3"/>
  <c r="I166" i="3"/>
  <c r="I168" i="3"/>
  <c r="I170" i="3"/>
  <c r="I171" i="3"/>
  <c r="I174" i="3"/>
  <c r="I176" i="3"/>
  <c r="I177" i="3"/>
  <c r="I178" i="3"/>
  <c r="I179" i="3"/>
  <c r="I181" i="3"/>
  <c r="I182" i="3"/>
  <c r="I183" i="3"/>
  <c r="I184" i="3"/>
  <c r="I187" i="3"/>
  <c r="I188" i="3"/>
  <c r="I189" i="3"/>
  <c r="I191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3" i="3"/>
  <c r="I214" i="3"/>
  <c r="I215" i="3"/>
  <c r="I216" i="3"/>
  <c r="I218" i="3"/>
  <c r="I219" i="3"/>
  <c r="I220" i="3"/>
  <c r="I222" i="3"/>
  <c r="I226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2" i="3"/>
  <c r="I243" i="3"/>
  <c r="I246" i="3"/>
  <c r="I247" i="3"/>
  <c r="I249" i="3"/>
  <c r="I251" i="3"/>
  <c r="I252" i="3"/>
  <c r="I254" i="3"/>
  <c r="I257" i="3"/>
  <c r="I258" i="3"/>
  <c r="I261" i="3"/>
  <c r="I263" i="3"/>
  <c r="I265" i="3"/>
  <c r="I266" i="3"/>
  <c r="I267" i="3"/>
  <c r="I269" i="3"/>
  <c r="I270" i="3"/>
  <c r="I271" i="3"/>
  <c r="I272" i="3"/>
  <c r="I273" i="3"/>
  <c r="I275" i="3"/>
  <c r="I277" i="3"/>
  <c r="I278" i="3"/>
  <c r="I279" i="3"/>
  <c r="I280" i="3"/>
  <c r="I281" i="3"/>
  <c r="I282" i="3"/>
  <c r="I283" i="3"/>
  <c r="I284" i="3"/>
  <c r="I286" i="3"/>
  <c r="I287" i="3"/>
  <c r="I288" i="3"/>
  <c r="I290" i="3"/>
  <c r="I291" i="3"/>
  <c r="I292" i="3"/>
  <c r="I293" i="3"/>
  <c r="I294" i="3"/>
  <c r="I295" i="3"/>
  <c r="I296" i="3"/>
  <c r="I298" i="3"/>
  <c r="I299" i="3"/>
  <c r="I300" i="3"/>
  <c r="I301" i="3"/>
  <c r="I303" i="3"/>
  <c r="I305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4" i="3"/>
  <c r="I325" i="3"/>
  <c r="I327" i="3"/>
  <c r="I328" i="3"/>
  <c r="I329" i="3"/>
  <c r="I330" i="3"/>
  <c r="I331" i="3"/>
  <c r="I335" i="3"/>
  <c r="I337" i="3"/>
  <c r="I339" i="3"/>
  <c r="I341" i="3"/>
  <c r="I343" i="3"/>
  <c r="I345" i="3"/>
  <c r="I347" i="3"/>
  <c r="I349" i="3"/>
  <c r="I351" i="3"/>
  <c r="I353" i="3"/>
  <c r="I355" i="3"/>
  <c r="I356" i="3"/>
  <c r="I357" i="3"/>
  <c r="I358" i="3"/>
  <c r="I359" i="3"/>
  <c r="I360" i="3"/>
  <c r="I363" i="3"/>
  <c r="I365" i="3"/>
  <c r="I367" i="3"/>
  <c r="I369" i="3"/>
  <c r="I371" i="3"/>
  <c r="I373" i="3"/>
  <c r="I374" i="3"/>
  <c r="I377" i="3"/>
  <c r="I378" i="3"/>
  <c r="I379" i="3"/>
  <c r="I382" i="3"/>
  <c r="I384" i="3"/>
  <c r="I386" i="3"/>
  <c r="I389" i="3"/>
  <c r="I390" i="3"/>
  <c r="I394" i="3"/>
  <c r="I397" i="3"/>
  <c r="I400" i="3"/>
  <c r="I401" i="3"/>
  <c r="I402" i="3"/>
  <c r="I403" i="3"/>
  <c r="I404" i="3"/>
  <c r="I408" i="3"/>
  <c r="I410" i="3"/>
  <c r="I413" i="3"/>
  <c r="I415" i="3"/>
  <c r="I416" i="3"/>
  <c r="I417" i="3"/>
  <c r="I418" i="3"/>
  <c r="I419" i="3"/>
  <c r="I420" i="3"/>
  <c r="I421" i="3"/>
  <c r="I424" i="3"/>
  <c r="I425" i="3"/>
  <c r="I426" i="3"/>
  <c r="I427" i="3"/>
  <c r="I428" i="3"/>
  <c r="I431" i="3"/>
  <c r="I433" i="3"/>
  <c r="I435" i="3"/>
  <c r="I436" i="3"/>
  <c r="I439" i="3"/>
  <c r="I441" i="3"/>
  <c r="I442" i="3"/>
  <c r="I444" i="3"/>
  <c r="I445" i="3"/>
  <c r="I446" i="3"/>
  <c r="I448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5" i="3"/>
  <c r="I466" i="3"/>
  <c r="I467" i="3"/>
  <c r="I468" i="3"/>
  <c r="I470" i="3"/>
  <c r="I472" i="3"/>
  <c r="I474" i="3"/>
  <c r="I475" i="3"/>
  <c r="I477" i="3"/>
  <c r="I479" i="3"/>
  <c r="I481" i="3"/>
  <c r="I483" i="3"/>
  <c r="I485" i="3"/>
  <c r="I487" i="3"/>
  <c r="I489" i="3"/>
  <c r="I491" i="3"/>
  <c r="I493" i="3"/>
  <c r="I494" i="3"/>
  <c r="I495" i="3"/>
  <c r="I497" i="3"/>
  <c r="I498" i="3"/>
  <c r="I499" i="3"/>
  <c r="I503" i="3"/>
  <c r="I505" i="3"/>
  <c r="I506" i="3"/>
  <c r="I507" i="3"/>
  <c r="I508" i="3"/>
  <c r="I509" i="3"/>
  <c r="I510" i="3"/>
  <c r="I511" i="3"/>
  <c r="I513" i="3"/>
  <c r="I514" i="3"/>
  <c r="I515" i="3"/>
  <c r="I516" i="3"/>
  <c r="I517" i="3"/>
  <c r="I518" i="3"/>
  <c r="I520" i="3"/>
  <c r="I521" i="3"/>
  <c r="I522" i="3"/>
  <c r="I523" i="3"/>
  <c r="I524" i="3"/>
  <c r="I527" i="3"/>
  <c r="I529" i="3"/>
  <c r="I532" i="3"/>
  <c r="I534" i="3"/>
  <c r="I535" i="3"/>
  <c r="I536" i="3"/>
  <c r="I537" i="3"/>
  <c r="I539" i="3"/>
  <c r="I540" i="3"/>
  <c r="I541" i="3"/>
  <c r="I542" i="3"/>
  <c r="I543" i="3"/>
  <c r="I544" i="3"/>
  <c r="I545" i="3"/>
  <c r="I547" i="3"/>
  <c r="I548" i="3"/>
  <c r="I549" i="3"/>
  <c r="I550" i="3"/>
  <c r="I552" i="3"/>
  <c r="I553" i="3"/>
  <c r="I554" i="3"/>
  <c r="I555" i="3"/>
  <c r="I557" i="3"/>
  <c r="I558" i="3"/>
  <c r="I559" i="3"/>
  <c r="I561" i="3"/>
  <c r="I562" i="3"/>
  <c r="I563" i="3"/>
  <c r="I565" i="3"/>
  <c r="I566" i="3"/>
  <c r="I569" i="3"/>
  <c r="I572" i="3"/>
  <c r="I574" i="3"/>
  <c r="I576" i="3"/>
  <c r="I579" i="3"/>
  <c r="I582" i="3"/>
  <c r="I584" i="3"/>
  <c r="I586" i="3"/>
  <c r="I589" i="3"/>
  <c r="I590" i="3"/>
  <c r="I591" i="3"/>
  <c r="I592" i="3"/>
  <c r="I593" i="3"/>
  <c r="I595" i="3"/>
  <c r="I596" i="3"/>
  <c r="I598" i="3"/>
  <c r="I599" i="3"/>
  <c r="I600" i="3"/>
  <c r="I601" i="3"/>
  <c r="I602" i="3"/>
  <c r="I603" i="3"/>
  <c r="I604" i="3"/>
  <c r="I605" i="3"/>
  <c r="I606" i="3"/>
  <c r="I610" i="3"/>
  <c r="I611" i="3"/>
  <c r="I612" i="3"/>
  <c r="I613" i="3"/>
  <c r="I614" i="3"/>
  <c r="I615" i="3"/>
  <c r="I616" i="3"/>
  <c r="I617" i="3"/>
  <c r="I618" i="3"/>
  <c r="I619" i="3"/>
  <c r="I620" i="3"/>
  <c r="I623" i="3"/>
  <c r="I626" i="3"/>
  <c r="I627" i="3"/>
  <c r="I628" i="3"/>
  <c r="I629" i="3"/>
  <c r="I630" i="3"/>
  <c r="I631" i="3"/>
  <c r="I633" i="3"/>
  <c r="I634" i="3"/>
  <c r="I635" i="3"/>
  <c r="I637" i="3"/>
  <c r="I638" i="3"/>
  <c r="I639" i="3"/>
  <c r="I640" i="3"/>
  <c r="I641" i="3"/>
  <c r="I642" i="3"/>
  <c r="I644" i="3"/>
  <c r="I645" i="3"/>
  <c r="I646" i="3"/>
  <c r="I647" i="3"/>
  <c r="I648" i="3"/>
  <c r="I649" i="3"/>
  <c r="I650" i="3"/>
  <c r="I651" i="3"/>
  <c r="I652" i="3"/>
  <c r="I653" i="3"/>
  <c r="I655" i="3"/>
  <c r="I656" i="3"/>
  <c r="I658" i="3"/>
  <c r="I659" i="3"/>
  <c r="I660" i="3"/>
  <c r="I661" i="3"/>
  <c r="I663" i="3"/>
  <c r="I664" i="3"/>
  <c r="I666" i="3"/>
  <c r="I668" i="3"/>
  <c r="I669" i="3"/>
  <c r="I670" i="3"/>
  <c r="I671" i="3"/>
  <c r="I672" i="3"/>
  <c r="I674" i="3"/>
  <c r="I675" i="3"/>
  <c r="I678" i="3"/>
  <c r="I679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701" i="3"/>
  <c r="I702" i="3"/>
  <c r="I703" i="3"/>
  <c r="I704" i="3"/>
  <c r="I705" i="3"/>
  <c r="I706" i="3"/>
  <c r="I709" i="3"/>
  <c r="I711" i="3"/>
  <c r="I713" i="3"/>
  <c r="I714" i="3"/>
  <c r="I715" i="3"/>
  <c r="I716" i="3"/>
  <c r="I720" i="3"/>
  <c r="I721" i="3"/>
  <c r="I722" i="3"/>
  <c r="I723" i="3"/>
  <c r="I726" i="3"/>
  <c r="I729" i="3"/>
  <c r="I730" i="3"/>
  <c r="I731" i="3"/>
  <c r="I732" i="3"/>
  <c r="I733" i="3"/>
  <c r="I736" i="3"/>
  <c r="I739" i="3"/>
  <c r="I741" i="3"/>
  <c r="I743" i="3"/>
  <c r="I744" i="3"/>
  <c r="I745" i="3"/>
  <c r="I748" i="3"/>
  <c r="I750" i="3"/>
  <c r="I751" i="3"/>
  <c r="I752" i="3"/>
  <c r="I753" i="3"/>
  <c r="I754" i="3"/>
  <c r="I755" i="3"/>
  <c r="I756" i="3"/>
  <c r="I757" i="3"/>
  <c r="I759" i="3"/>
  <c r="I760" i="3"/>
  <c r="I761" i="3"/>
  <c r="I762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9" i="3"/>
  <c r="I790" i="3"/>
  <c r="I791" i="3"/>
  <c r="I792" i="3"/>
  <c r="I793" i="3"/>
  <c r="I794" i="3"/>
  <c r="I796" i="3"/>
  <c r="I798" i="3"/>
  <c r="I799" i="3"/>
  <c r="I801" i="3"/>
  <c r="I804" i="3"/>
  <c r="I807" i="3"/>
  <c r="I810" i="3"/>
  <c r="I811" i="3"/>
  <c r="I812" i="3"/>
  <c r="I813" i="3"/>
  <c r="I814" i="3"/>
  <c r="I815" i="3"/>
  <c r="I817" i="3"/>
  <c r="I820" i="3"/>
  <c r="I821" i="3"/>
  <c r="I822" i="3"/>
  <c r="I823" i="3"/>
  <c r="I824" i="3"/>
  <c r="I825" i="3"/>
  <c r="I826" i="3"/>
  <c r="I828" i="3"/>
  <c r="I829" i="3"/>
  <c r="I831" i="3"/>
  <c r="I833" i="3"/>
  <c r="I834" i="3"/>
  <c r="I835" i="3"/>
  <c r="I836" i="3"/>
  <c r="I838" i="3"/>
  <c r="I839" i="3"/>
  <c r="I840" i="3"/>
  <c r="H20" i="3"/>
  <c r="H22" i="3"/>
  <c r="H24" i="3"/>
  <c r="H25" i="3"/>
  <c r="H26" i="3"/>
  <c r="H27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8" i="3"/>
  <c r="H49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1" i="3"/>
  <c r="H102" i="3"/>
  <c r="H103" i="3"/>
  <c r="H104" i="3"/>
  <c r="H105" i="3"/>
  <c r="H106" i="3"/>
  <c r="H107" i="3"/>
  <c r="H108" i="3"/>
  <c r="H109" i="3"/>
  <c r="H110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3" i="3"/>
  <c r="H134" i="3"/>
  <c r="H135" i="3"/>
  <c r="H136" i="3"/>
  <c r="H137" i="3"/>
  <c r="H138" i="3"/>
  <c r="H139" i="3"/>
  <c r="H140" i="3"/>
  <c r="H141" i="3"/>
  <c r="H143" i="3"/>
  <c r="H144" i="3"/>
  <c r="H145" i="3"/>
  <c r="H146" i="3"/>
  <c r="H147" i="3"/>
  <c r="H148" i="3"/>
  <c r="H149" i="3"/>
  <c r="H150" i="3"/>
  <c r="H151" i="3"/>
  <c r="H153" i="3"/>
  <c r="H155" i="3"/>
  <c r="H156" i="3"/>
  <c r="H157" i="3"/>
  <c r="H159" i="3"/>
  <c r="H161" i="3"/>
  <c r="H162" i="3"/>
  <c r="H163" i="3"/>
  <c r="H164" i="3"/>
  <c r="H165" i="3"/>
  <c r="H166" i="3"/>
  <c r="H168" i="3"/>
  <c r="H170" i="3"/>
  <c r="H171" i="3"/>
  <c r="H174" i="3"/>
  <c r="H176" i="3"/>
  <c r="H177" i="3"/>
  <c r="H178" i="3"/>
  <c r="H179" i="3"/>
  <c r="H181" i="3"/>
  <c r="H182" i="3"/>
  <c r="H183" i="3"/>
  <c r="H184" i="3"/>
  <c r="H187" i="3"/>
  <c r="H188" i="3"/>
  <c r="H189" i="3"/>
  <c r="H191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3" i="3"/>
  <c r="H214" i="3"/>
  <c r="H215" i="3"/>
  <c r="H216" i="3"/>
  <c r="H218" i="3"/>
  <c r="H219" i="3"/>
  <c r="H220" i="3"/>
  <c r="H222" i="3"/>
  <c r="H226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2" i="3"/>
  <c r="H243" i="3"/>
  <c r="H246" i="3"/>
  <c r="H247" i="3"/>
  <c r="H249" i="3"/>
  <c r="H251" i="3"/>
  <c r="H252" i="3"/>
  <c r="H254" i="3"/>
  <c r="H257" i="3"/>
  <c r="H258" i="3"/>
  <c r="H261" i="3"/>
  <c r="H263" i="3"/>
  <c r="H265" i="3"/>
  <c r="H266" i="3"/>
  <c r="H267" i="3"/>
  <c r="H269" i="3"/>
  <c r="H270" i="3"/>
  <c r="H271" i="3"/>
  <c r="H272" i="3"/>
  <c r="H273" i="3"/>
  <c r="H275" i="3"/>
  <c r="H277" i="3"/>
  <c r="H278" i="3"/>
  <c r="H279" i="3"/>
  <c r="H280" i="3"/>
  <c r="H281" i="3"/>
  <c r="H282" i="3"/>
  <c r="H283" i="3"/>
  <c r="H284" i="3"/>
  <c r="H286" i="3"/>
  <c r="H287" i="3"/>
  <c r="H288" i="3"/>
  <c r="H290" i="3"/>
  <c r="H291" i="3"/>
  <c r="H292" i="3"/>
  <c r="H293" i="3"/>
  <c r="H294" i="3"/>
  <c r="H295" i="3"/>
  <c r="H296" i="3"/>
  <c r="H298" i="3"/>
  <c r="H299" i="3"/>
  <c r="H300" i="3"/>
  <c r="H301" i="3"/>
  <c r="H303" i="3"/>
  <c r="H305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4" i="3"/>
  <c r="H325" i="3"/>
  <c r="H327" i="3"/>
  <c r="H328" i="3"/>
  <c r="H329" i="3"/>
  <c r="H330" i="3"/>
  <c r="H331" i="3"/>
  <c r="H335" i="3"/>
  <c r="H337" i="3"/>
  <c r="H339" i="3"/>
  <c r="H341" i="3"/>
  <c r="H343" i="3"/>
  <c r="H345" i="3"/>
  <c r="H347" i="3"/>
  <c r="H349" i="3"/>
  <c r="H351" i="3"/>
  <c r="H353" i="3"/>
  <c r="H355" i="3"/>
  <c r="H356" i="3"/>
  <c r="H357" i="3"/>
  <c r="H358" i="3"/>
  <c r="H359" i="3"/>
  <c r="H360" i="3"/>
  <c r="H363" i="3"/>
  <c r="H365" i="3"/>
  <c r="H367" i="3"/>
  <c r="H369" i="3"/>
  <c r="H371" i="3"/>
  <c r="H373" i="3"/>
  <c r="H374" i="3"/>
  <c r="H377" i="3"/>
  <c r="H378" i="3"/>
  <c r="H379" i="3"/>
  <c r="H382" i="3"/>
  <c r="H384" i="3"/>
  <c r="H386" i="3"/>
  <c r="H389" i="3"/>
  <c r="H390" i="3"/>
  <c r="H394" i="3"/>
  <c r="H397" i="3"/>
  <c r="H400" i="3"/>
  <c r="H401" i="3"/>
  <c r="H402" i="3"/>
  <c r="H403" i="3"/>
  <c r="H404" i="3"/>
  <c r="H408" i="3"/>
  <c r="H410" i="3"/>
  <c r="H413" i="3"/>
  <c r="H415" i="3"/>
  <c r="H416" i="3"/>
  <c r="H417" i="3"/>
  <c r="H418" i="3"/>
  <c r="H419" i="3"/>
  <c r="H420" i="3"/>
  <c r="H421" i="3"/>
  <c r="H424" i="3"/>
  <c r="H425" i="3"/>
  <c r="H426" i="3"/>
  <c r="H427" i="3"/>
  <c r="H428" i="3"/>
  <c r="H431" i="3"/>
  <c r="H433" i="3"/>
  <c r="H435" i="3"/>
  <c r="H436" i="3"/>
  <c r="H439" i="3"/>
  <c r="H441" i="3"/>
  <c r="H442" i="3"/>
  <c r="H444" i="3"/>
  <c r="H445" i="3"/>
  <c r="H446" i="3"/>
  <c r="H448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5" i="3"/>
  <c r="H466" i="3"/>
  <c r="H467" i="3"/>
  <c r="H468" i="3"/>
  <c r="H470" i="3"/>
  <c r="H472" i="3"/>
  <c r="H474" i="3"/>
  <c r="H475" i="3"/>
  <c r="H477" i="3"/>
  <c r="H479" i="3"/>
  <c r="H481" i="3"/>
  <c r="H483" i="3"/>
  <c r="H485" i="3"/>
  <c r="H487" i="3"/>
  <c r="H489" i="3"/>
  <c r="H491" i="3"/>
  <c r="H493" i="3"/>
  <c r="H494" i="3"/>
  <c r="H495" i="3"/>
  <c r="H497" i="3"/>
  <c r="H498" i="3"/>
  <c r="H499" i="3"/>
  <c r="H503" i="3"/>
  <c r="H505" i="3"/>
  <c r="H506" i="3"/>
  <c r="H507" i="3"/>
  <c r="H508" i="3"/>
  <c r="H509" i="3"/>
  <c r="H510" i="3"/>
  <c r="H511" i="3"/>
  <c r="H513" i="3"/>
  <c r="H514" i="3"/>
  <c r="H515" i="3"/>
  <c r="H516" i="3"/>
  <c r="H517" i="3"/>
  <c r="H518" i="3"/>
  <c r="H520" i="3"/>
  <c r="H521" i="3"/>
  <c r="H522" i="3"/>
  <c r="H523" i="3"/>
  <c r="H524" i="3"/>
  <c r="H527" i="3"/>
  <c r="H529" i="3"/>
  <c r="H532" i="3"/>
  <c r="H534" i="3"/>
  <c r="H535" i="3"/>
  <c r="H536" i="3"/>
  <c r="H537" i="3"/>
  <c r="H539" i="3"/>
  <c r="H540" i="3"/>
  <c r="H541" i="3"/>
  <c r="H542" i="3"/>
  <c r="H543" i="3"/>
  <c r="H544" i="3"/>
  <c r="H545" i="3"/>
  <c r="H547" i="3"/>
  <c r="H548" i="3"/>
  <c r="H549" i="3"/>
  <c r="H550" i="3"/>
  <c r="H552" i="3"/>
  <c r="H553" i="3"/>
  <c r="H554" i="3"/>
  <c r="H555" i="3"/>
  <c r="H557" i="3"/>
  <c r="H558" i="3"/>
  <c r="H559" i="3"/>
  <c r="H561" i="3"/>
  <c r="H562" i="3"/>
  <c r="H563" i="3"/>
  <c r="H565" i="3"/>
  <c r="H566" i="3"/>
  <c r="H569" i="3"/>
  <c r="H572" i="3"/>
  <c r="H574" i="3"/>
  <c r="H576" i="3"/>
  <c r="H579" i="3"/>
  <c r="H582" i="3"/>
  <c r="H584" i="3"/>
  <c r="H586" i="3"/>
  <c r="H589" i="3"/>
  <c r="H590" i="3"/>
  <c r="H591" i="3"/>
  <c r="H592" i="3"/>
  <c r="H593" i="3"/>
  <c r="H595" i="3"/>
  <c r="H596" i="3"/>
  <c r="H598" i="3"/>
  <c r="H599" i="3"/>
  <c r="H600" i="3"/>
  <c r="H601" i="3"/>
  <c r="H602" i="3"/>
  <c r="H603" i="3"/>
  <c r="H604" i="3"/>
  <c r="H605" i="3"/>
  <c r="H606" i="3"/>
  <c r="H610" i="3"/>
  <c r="H611" i="3"/>
  <c r="H612" i="3"/>
  <c r="H613" i="3"/>
  <c r="H614" i="3"/>
  <c r="H615" i="3"/>
  <c r="H616" i="3"/>
  <c r="H617" i="3"/>
  <c r="H618" i="3"/>
  <c r="H619" i="3"/>
  <c r="H620" i="3"/>
  <c r="H623" i="3"/>
  <c r="H626" i="3"/>
  <c r="H627" i="3"/>
  <c r="H628" i="3"/>
  <c r="H629" i="3"/>
  <c r="H630" i="3"/>
  <c r="H631" i="3"/>
  <c r="H633" i="3"/>
  <c r="H634" i="3"/>
  <c r="H635" i="3"/>
  <c r="H637" i="3"/>
  <c r="H638" i="3"/>
  <c r="H639" i="3"/>
  <c r="H640" i="3"/>
  <c r="H641" i="3"/>
  <c r="H642" i="3"/>
  <c r="H644" i="3"/>
  <c r="H645" i="3"/>
  <c r="H646" i="3"/>
  <c r="H647" i="3"/>
  <c r="H648" i="3"/>
  <c r="H649" i="3"/>
  <c r="H650" i="3"/>
  <c r="H651" i="3"/>
  <c r="H652" i="3"/>
  <c r="H653" i="3"/>
  <c r="H655" i="3"/>
  <c r="H656" i="3"/>
  <c r="H658" i="3"/>
  <c r="H659" i="3"/>
  <c r="H660" i="3"/>
  <c r="H661" i="3"/>
  <c r="H663" i="3"/>
  <c r="H664" i="3"/>
  <c r="H666" i="3"/>
  <c r="H668" i="3"/>
  <c r="H669" i="3"/>
  <c r="H670" i="3"/>
  <c r="H671" i="3"/>
  <c r="H672" i="3"/>
  <c r="H674" i="3"/>
  <c r="H675" i="3"/>
  <c r="H678" i="3"/>
  <c r="H679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701" i="3"/>
  <c r="H702" i="3"/>
  <c r="H703" i="3"/>
  <c r="H704" i="3"/>
  <c r="H705" i="3"/>
  <c r="H706" i="3"/>
  <c r="H709" i="3"/>
  <c r="H711" i="3"/>
  <c r="H713" i="3"/>
  <c r="H714" i="3"/>
  <c r="H715" i="3"/>
  <c r="H716" i="3"/>
  <c r="H720" i="3"/>
  <c r="H721" i="3"/>
  <c r="H722" i="3"/>
  <c r="H723" i="3"/>
  <c r="H726" i="3"/>
  <c r="H729" i="3"/>
  <c r="H730" i="3"/>
  <c r="H731" i="3"/>
  <c r="H732" i="3"/>
  <c r="H733" i="3"/>
  <c r="H736" i="3"/>
  <c r="H739" i="3"/>
  <c r="H741" i="3"/>
  <c r="H743" i="3"/>
  <c r="H744" i="3"/>
  <c r="H745" i="3"/>
  <c r="H748" i="3"/>
  <c r="H750" i="3"/>
  <c r="H751" i="3"/>
  <c r="H752" i="3"/>
  <c r="H753" i="3"/>
  <c r="H754" i="3"/>
  <c r="H755" i="3"/>
  <c r="H756" i="3"/>
  <c r="H757" i="3"/>
  <c r="H759" i="3"/>
  <c r="H760" i="3"/>
  <c r="H761" i="3"/>
  <c r="H762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9" i="3"/>
  <c r="H790" i="3"/>
  <c r="H791" i="3"/>
  <c r="H792" i="3"/>
  <c r="H793" i="3"/>
  <c r="H794" i="3"/>
  <c r="H796" i="3"/>
  <c r="H798" i="3"/>
  <c r="H799" i="3"/>
  <c r="H801" i="3"/>
  <c r="H804" i="3"/>
  <c r="H807" i="3"/>
  <c r="H810" i="3"/>
  <c r="H811" i="3"/>
  <c r="H812" i="3"/>
  <c r="H813" i="3"/>
  <c r="H814" i="3"/>
  <c r="H815" i="3"/>
  <c r="H817" i="3"/>
  <c r="H820" i="3"/>
  <c r="H821" i="3"/>
  <c r="H822" i="3"/>
  <c r="H823" i="3"/>
  <c r="H824" i="3"/>
  <c r="H825" i="3"/>
  <c r="H826" i="3"/>
  <c r="H828" i="3"/>
  <c r="H829" i="3"/>
  <c r="H831" i="3"/>
  <c r="H833" i="3"/>
  <c r="H834" i="3"/>
  <c r="H835" i="3"/>
  <c r="H836" i="3"/>
  <c r="H838" i="3"/>
  <c r="H839" i="3"/>
  <c r="H840" i="3"/>
  <c r="H18" i="3"/>
  <c r="I18" i="3"/>
  <c r="J18" i="3"/>
  <c r="L17" i="3"/>
  <c r="L16" i="3"/>
  <c r="G18" i="3"/>
  <c r="G20" i="3"/>
  <c r="G22" i="3"/>
  <c r="G24" i="3"/>
  <c r="G25" i="3"/>
  <c r="G26" i="3"/>
  <c r="G27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8" i="3"/>
  <c r="G49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1" i="3"/>
  <c r="G102" i="3"/>
  <c r="G103" i="3"/>
  <c r="G104" i="3"/>
  <c r="G105" i="3"/>
  <c r="G106" i="3"/>
  <c r="G107" i="3"/>
  <c r="G108" i="3"/>
  <c r="G109" i="3"/>
  <c r="G110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3" i="3"/>
  <c r="G134" i="3"/>
  <c r="G135" i="3"/>
  <c r="G136" i="3"/>
  <c r="G137" i="3"/>
  <c r="G138" i="3"/>
  <c r="G139" i="3"/>
  <c r="G140" i="3"/>
  <c r="G141" i="3"/>
  <c r="G143" i="3"/>
  <c r="G144" i="3"/>
  <c r="G145" i="3"/>
  <c r="G146" i="3"/>
  <c r="G147" i="3"/>
  <c r="G148" i="3"/>
  <c r="G149" i="3"/>
  <c r="G150" i="3"/>
  <c r="G151" i="3"/>
  <c r="G153" i="3"/>
  <c r="G155" i="3"/>
  <c r="G156" i="3"/>
  <c r="G157" i="3"/>
  <c r="G159" i="3"/>
  <c r="G161" i="3"/>
  <c r="G162" i="3"/>
  <c r="G163" i="3"/>
  <c r="G164" i="3"/>
  <c r="G165" i="3"/>
  <c r="G166" i="3"/>
  <c r="G168" i="3"/>
  <c r="G170" i="3"/>
  <c r="G171" i="3"/>
  <c r="G174" i="3"/>
  <c r="G176" i="3"/>
  <c r="G177" i="3"/>
  <c r="G178" i="3"/>
  <c r="G179" i="3"/>
  <c r="G181" i="3"/>
  <c r="G182" i="3"/>
  <c r="G183" i="3"/>
  <c r="G184" i="3"/>
  <c r="G187" i="3"/>
  <c r="G188" i="3"/>
  <c r="G189" i="3"/>
  <c r="G191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3" i="3"/>
  <c r="G214" i="3"/>
  <c r="G215" i="3"/>
  <c r="G216" i="3"/>
  <c r="G218" i="3"/>
  <c r="G219" i="3"/>
  <c r="G220" i="3"/>
  <c r="G222" i="3"/>
  <c r="G226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2" i="3"/>
  <c r="G243" i="3"/>
  <c r="G246" i="3"/>
  <c r="G247" i="3"/>
  <c r="G249" i="3"/>
  <c r="G251" i="3"/>
  <c r="G252" i="3"/>
  <c r="G254" i="3"/>
  <c r="G257" i="3"/>
  <c r="G258" i="3"/>
  <c r="G261" i="3"/>
  <c r="G263" i="3"/>
  <c r="G265" i="3"/>
  <c r="G266" i="3"/>
  <c r="G267" i="3"/>
  <c r="G269" i="3"/>
  <c r="G270" i="3"/>
  <c r="G271" i="3"/>
  <c r="G272" i="3"/>
  <c r="G273" i="3"/>
  <c r="G275" i="3"/>
  <c r="G277" i="3"/>
  <c r="G278" i="3"/>
  <c r="G279" i="3"/>
  <c r="G280" i="3"/>
  <c r="G281" i="3"/>
  <c r="G282" i="3"/>
  <c r="G283" i="3"/>
  <c r="G284" i="3"/>
  <c r="G286" i="3"/>
  <c r="G287" i="3"/>
  <c r="G288" i="3"/>
  <c r="G290" i="3"/>
  <c r="G291" i="3"/>
  <c r="G292" i="3"/>
  <c r="G293" i="3"/>
  <c r="G294" i="3"/>
  <c r="G295" i="3"/>
  <c r="G296" i="3"/>
  <c r="G298" i="3"/>
  <c r="G299" i="3"/>
  <c r="G300" i="3"/>
  <c r="G301" i="3"/>
  <c r="G303" i="3"/>
  <c r="G305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4" i="3"/>
  <c r="G325" i="3"/>
  <c r="G327" i="3"/>
  <c r="G328" i="3"/>
  <c r="G329" i="3"/>
  <c r="G330" i="3"/>
  <c r="G331" i="3"/>
  <c r="G335" i="3"/>
  <c r="G337" i="3"/>
  <c r="G339" i="3"/>
  <c r="G341" i="3"/>
  <c r="G343" i="3"/>
  <c r="G345" i="3"/>
  <c r="G347" i="3"/>
  <c r="G349" i="3"/>
  <c r="G351" i="3"/>
  <c r="G353" i="3"/>
  <c r="G355" i="3"/>
  <c r="G356" i="3"/>
  <c r="G357" i="3"/>
  <c r="G358" i="3"/>
  <c r="G359" i="3"/>
  <c r="G360" i="3"/>
  <c r="G363" i="3"/>
  <c r="G365" i="3"/>
  <c r="G367" i="3"/>
  <c r="G369" i="3"/>
  <c r="G371" i="3"/>
  <c r="G373" i="3"/>
  <c r="G374" i="3"/>
  <c r="G377" i="3"/>
  <c r="G378" i="3"/>
  <c r="G379" i="3"/>
  <c r="G382" i="3"/>
  <c r="G384" i="3"/>
  <c r="G386" i="3"/>
  <c r="G389" i="3"/>
  <c r="G390" i="3"/>
  <c r="G394" i="3"/>
  <c r="G397" i="3"/>
  <c r="G400" i="3"/>
  <c r="G401" i="3"/>
  <c r="G402" i="3"/>
  <c r="G403" i="3"/>
  <c r="G404" i="3"/>
  <c r="G408" i="3"/>
  <c r="G410" i="3"/>
  <c r="G413" i="3"/>
  <c r="G415" i="3"/>
  <c r="G416" i="3"/>
  <c r="G417" i="3"/>
  <c r="G418" i="3"/>
  <c r="G419" i="3"/>
  <c r="G420" i="3"/>
  <c r="G421" i="3"/>
  <c r="G424" i="3"/>
  <c r="G425" i="3"/>
  <c r="G426" i="3"/>
  <c r="G427" i="3"/>
  <c r="G428" i="3"/>
  <c r="G431" i="3"/>
  <c r="G433" i="3"/>
  <c r="G435" i="3"/>
  <c r="G436" i="3"/>
  <c r="G439" i="3"/>
  <c r="G441" i="3"/>
  <c r="G442" i="3"/>
  <c r="G444" i="3"/>
  <c r="G445" i="3"/>
  <c r="G446" i="3"/>
  <c r="G448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5" i="3"/>
  <c r="G466" i="3"/>
  <c r="G467" i="3"/>
  <c r="G468" i="3"/>
  <c r="G470" i="3"/>
  <c r="G472" i="3"/>
  <c r="G474" i="3"/>
  <c r="G475" i="3"/>
  <c r="G477" i="3"/>
  <c r="G479" i="3"/>
  <c r="G481" i="3"/>
  <c r="G483" i="3"/>
  <c r="G485" i="3"/>
  <c r="G487" i="3"/>
  <c r="G489" i="3"/>
  <c r="G491" i="3"/>
  <c r="G493" i="3"/>
  <c r="G494" i="3"/>
  <c r="G495" i="3"/>
  <c r="G497" i="3"/>
  <c r="G498" i="3"/>
  <c r="G499" i="3"/>
  <c r="G503" i="3"/>
  <c r="G505" i="3"/>
  <c r="G506" i="3"/>
  <c r="G507" i="3"/>
  <c r="G508" i="3"/>
  <c r="G509" i="3"/>
  <c r="G510" i="3"/>
  <c r="G511" i="3"/>
  <c r="G513" i="3"/>
  <c r="G514" i="3"/>
  <c r="G515" i="3"/>
  <c r="G516" i="3"/>
  <c r="G517" i="3"/>
  <c r="G518" i="3"/>
  <c r="G520" i="3"/>
  <c r="G521" i="3"/>
  <c r="G522" i="3"/>
  <c r="G523" i="3"/>
  <c r="G524" i="3"/>
  <c r="G527" i="3"/>
  <c r="G529" i="3"/>
  <c r="G532" i="3"/>
  <c r="G534" i="3"/>
  <c r="G535" i="3"/>
  <c r="G536" i="3"/>
  <c r="G537" i="3"/>
  <c r="G539" i="3"/>
  <c r="G540" i="3"/>
  <c r="G541" i="3"/>
  <c r="G542" i="3"/>
  <c r="G543" i="3"/>
  <c r="G544" i="3"/>
  <c r="G545" i="3"/>
  <c r="G547" i="3"/>
  <c r="G548" i="3"/>
  <c r="G549" i="3"/>
  <c r="G550" i="3"/>
  <c r="G552" i="3"/>
  <c r="G553" i="3"/>
  <c r="G554" i="3"/>
  <c r="G555" i="3"/>
  <c r="G557" i="3"/>
  <c r="G558" i="3"/>
  <c r="G559" i="3"/>
  <c r="G561" i="3"/>
  <c r="G562" i="3"/>
  <c r="G563" i="3"/>
  <c r="G565" i="3"/>
  <c r="G566" i="3"/>
  <c r="G569" i="3"/>
  <c r="G572" i="3"/>
  <c r="G574" i="3"/>
  <c r="G576" i="3"/>
  <c r="G579" i="3"/>
  <c r="G582" i="3"/>
  <c r="G584" i="3"/>
  <c r="G586" i="3"/>
  <c r="G589" i="3"/>
  <c r="G590" i="3"/>
  <c r="G591" i="3"/>
  <c r="G592" i="3"/>
  <c r="G593" i="3"/>
  <c r="G595" i="3"/>
  <c r="G596" i="3"/>
  <c r="G598" i="3"/>
  <c r="G599" i="3"/>
  <c r="G600" i="3"/>
  <c r="G601" i="3"/>
  <c r="G602" i="3"/>
  <c r="G603" i="3"/>
  <c r="G604" i="3"/>
  <c r="G605" i="3"/>
  <c r="G606" i="3"/>
  <c r="G610" i="3"/>
  <c r="G611" i="3"/>
  <c r="G612" i="3"/>
  <c r="G613" i="3"/>
  <c r="G614" i="3"/>
  <c r="G615" i="3"/>
  <c r="G616" i="3"/>
  <c r="G617" i="3"/>
  <c r="G618" i="3"/>
  <c r="G619" i="3"/>
  <c r="G620" i="3"/>
  <c r="G623" i="3"/>
  <c r="G626" i="3"/>
  <c r="G627" i="3"/>
  <c r="G628" i="3"/>
  <c r="G629" i="3"/>
  <c r="G630" i="3"/>
  <c r="G631" i="3"/>
  <c r="G633" i="3"/>
  <c r="G634" i="3"/>
  <c r="G635" i="3"/>
  <c r="G637" i="3"/>
  <c r="G638" i="3"/>
  <c r="G639" i="3"/>
  <c r="G640" i="3"/>
  <c r="G641" i="3"/>
  <c r="G642" i="3"/>
  <c r="G644" i="3"/>
  <c r="G645" i="3"/>
  <c r="G646" i="3"/>
  <c r="G647" i="3"/>
  <c r="G648" i="3"/>
  <c r="G649" i="3"/>
  <c r="G650" i="3"/>
  <c r="G651" i="3"/>
  <c r="G652" i="3"/>
  <c r="G653" i="3"/>
  <c r="G655" i="3"/>
  <c r="G656" i="3"/>
  <c r="G658" i="3"/>
  <c r="G659" i="3"/>
  <c r="G660" i="3"/>
  <c r="G661" i="3"/>
  <c r="G663" i="3"/>
  <c r="G664" i="3"/>
  <c r="G666" i="3"/>
  <c r="G668" i="3"/>
  <c r="G669" i="3"/>
  <c r="G670" i="3"/>
  <c r="G671" i="3"/>
  <c r="G672" i="3"/>
  <c r="G674" i="3"/>
  <c r="G675" i="3"/>
  <c r="G678" i="3"/>
  <c r="G679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701" i="3"/>
  <c r="G702" i="3"/>
  <c r="G703" i="3"/>
  <c r="G704" i="3"/>
  <c r="G705" i="3"/>
  <c r="G706" i="3"/>
  <c r="G709" i="3"/>
  <c r="G711" i="3"/>
  <c r="G713" i="3"/>
  <c r="G714" i="3"/>
  <c r="G715" i="3"/>
  <c r="G716" i="3"/>
  <c r="G720" i="3"/>
  <c r="G721" i="3"/>
  <c r="G722" i="3"/>
  <c r="G723" i="3"/>
  <c r="G726" i="3"/>
  <c r="G729" i="3"/>
  <c r="G730" i="3"/>
  <c r="G731" i="3"/>
  <c r="G732" i="3"/>
  <c r="G733" i="3"/>
  <c r="G736" i="3"/>
  <c r="G739" i="3"/>
  <c r="G741" i="3"/>
  <c r="G743" i="3"/>
  <c r="G744" i="3"/>
  <c r="G745" i="3"/>
  <c r="G748" i="3"/>
  <c r="G750" i="3"/>
  <c r="G751" i="3"/>
  <c r="G752" i="3"/>
  <c r="G753" i="3"/>
  <c r="G754" i="3"/>
  <c r="G755" i="3"/>
  <c r="G756" i="3"/>
  <c r="G757" i="3"/>
  <c r="G759" i="3"/>
  <c r="G760" i="3"/>
  <c r="G761" i="3"/>
  <c r="G762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93" i="3"/>
  <c r="G794" i="3"/>
  <c r="G796" i="3"/>
  <c r="G798" i="3"/>
  <c r="G799" i="3"/>
  <c r="G801" i="3"/>
  <c r="G804" i="3"/>
  <c r="G807" i="3"/>
  <c r="G810" i="3"/>
  <c r="G811" i="3"/>
  <c r="G812" i="3"/>
  <c r="G813" i="3"/>
  <c r="G814" i="3"/>
  <c r="G815" i="3"/>
  <c r="G817" i="3"/>
  <c r="G820" i="3"/>
  <c r="G821" i="3"/>
  <c r="G822" i="3"/>
  <c r="G823" i="3"/>
  <c r="G824" i="3"/>
  <c r="G825" i="3"/>
  <c r="G826" i="3"/>
  <c r="G828" i="3"/>
  <c r="G829" i="3"/>
  <c r="G831" i="3"/>
  <c r="G833" i="3"/>
  <c r="G834" i="3"/>
  <c r="G835" i="3"/>
  <c r="G836" i="3"/>
  <c r="G838" i="3"/>
  <c r="G839" i="3"/>
  <c r="G840" i="3"/>
  <c r="L816" i="3" l="1"/>
  <c r="L607" i="3"/>
  <c r="L800" i="3"/>
  <c r="L391" i="3"/>
  <c r="L223" i="3"/>
  <c r="L717" i="3"/>
  <c r="H677" i="1"/>
  <c r="G680" i="3" s="1"/>
  <c r="I347" i="1" l="1"/>
  <c r="J347" i="1"/>
  <c r="K590" i="3"/>
  <c r="K591" i="3"/>
  <c r="K592" i="3"/>
  <c r="K593" i="3"/>
  <c r="K595" i="3"/>
  <c r="K596" i="3"/>
  <c r="K598" i="3"/>
  <c r="K599" i="3"/>
  <c r="K600" i="3"/>
  <c r="K601" i="3"/>
  <c r="K602" i="3"/>
  <c r="K603" i="3"/>
  <c r="K604" i="3"/>
  <c r="K605" i="3"/>
  <c r="K606" i="3"/>
  <c r="K613" i="3"/>
  <c r="K614" i="3"/>
  <c r="K615" i="3"/>
  <c r="K616" i="3"/>
  <c r="K617" i="3"/>
  <c r="K618" i="3"/>
  <c r="K619" i="3"/>
  <c r="K620" i="3"/>
  <c r="K711" i="3"/>
  <c r="K713" i="3"/>
  <c r="K714" i="3"/>
  <c r="K715" i="3"/>
  <c r="K716" i="3"/>
  <c r="K723" i="3"/>
  <c r="K761" i="3"/>
  <c r="K798" i="3"/>
  <c r="K799" i="3"/>
  <c r="K801" i="3"/>
  <c r="K811" i="3"/>
  <c r="K812" i="3"/>
  <c r="K813" i="3"/>
  <c r="K814" i="3"/>
  <c r="K815" i="3"/>
  <c r="K833" i="3"/>
  <c r="K834" i="3"/>
  <c r="K835" i="3"/>
  <c r="K836" i="3"/>
  <c r="K838" i="3"/>
  <c r="K839" i="3"/>
  <c r="K840" i="3"/>
  <c r="J622" i="1"/>
  <c r="I622" i="1"/>
  <c r="H622" i="1"/>
  <c r="G625" i="3" s="1"/>
  <c r="J629" i="1"/>
  <c r="I629" i="1"/>
  <c r="H629" i="1"/>
  <c r="G632" i="3" s="1"/>
  <c r="J633" i="1"/>
  <c r="I633" i="1"/>
  <c r="H633" i="1"/>
  <c r="G636" i="3" s="1"/>
  <c r="J640" i="1"/>
  <c r="I640" i="1"/>
  <c r="H640" i="1"/>
  <c r="G643" i="3" s="1"/>
  <c r="J651" i="1"/>
  <c r="I651" i="1"/>
  <c r="H651" i="1"/>
  <c r="G654" i="3" s="1"/>
  <c r="J654" i="1"/>
  <c r="I654" i="1"/>
  <c r="H654" i="1"/>
  <c r="G657" i="3" s="1"/>
  <c r="J659" i="1"/>
  <c r="I659" i="1"/>
  <c r="H659" i="1"/>
  <c r="G662" i="3" s="1"/>
  <c r="I662" i="1"/>
  <c r="J662" i="1"/>
  <c r="H662" i="1"/>
  <c r="G665" i="3" s="1"/>
  <c r="J664" i="1"/>
  <c r="I664" i="1"/>
  <c r="H664" i="1"/>
  <c r="G667" i="3" s="1"/>
  <c r="I670" i="1"/>
  <c r="J670" i="1"/>
  <c r="H670" i="1"/>
  <c r="G673" i="3" s="1"/>
  <c r="I674" i="1"/>
  <c r="J674" i="1"/>
  <c r="H674" i="1"/>
  <c r="G677" i="3" s="1"/>
  <c r="I677" i="1"/>
  <c r="J677" i="1"/>
  <c r="I697" i="1"/>
  <c r="J697" i="1"/>
  <c r="H697" i="1"/>
  <c r="I705" i="1"/>
  <c r="J705" i="1"/>
  <c r="H705" i="1"/>
  <c r="I707" i="1"/>
  <c r="J707" i="1"/>
  <c r="H707" i="1"/>
  <c r="G710" i="3" s="1"/>
  <c r="I709" i="1"/>
  <c r="J709" i="1"/>
  <c r="H709" i="1"/>
  <c r="G712" i="3" s="1"/>
  <c r="I716" i="1"/>
  <c r="J716" i="1"/>
  <c r="H716" i="1"/>
  <c r="J722" i="1"/>
  <c r="I722" i="1"/>
  <c r="H722" i="1"/>
  <c r="I725" i="1"/>
  <c r="J725" i="1"/>
  <c r="H725" i="1"/>
  <c r="I732" i="1"/>
  <c r="J732" i="1"/>
  <c r="H732" i="1"/>
  <c r="J735" i="1"/>
  <c r="I735" i="1"/>
  <c r="H735" i="1"/>
  <c r="G738" i="3" s="1"/>
  <c r="J737" i="1"/>
  <c r="I737" i="1"/>
  <c r="H737" i="1"/>
  <c r="G740" i="3" s="1"/>
  <c r="J739" i="1"/>
  <c r="I739" i="1"/>
  <c r="H739" i="1"/>
  <c r="G742" i="3" s="1"/>
  <c r="J744" i="1"/>
  <c r="I744" i="1"/>
  <c r="H744" i="1"/>
  <c r="G747" i="3" s="1"/>
  <c r="J746" i="1"/>
  <c r="I746" i="1"/>
  <c r="H746" i="1"/>
  <c r="G749" i="3" s="1"/>
  <c r="J755" i="1"/>
  <c r="I755" i="1"/>
  <c r="H755" i="1"/>
  <c r="G758" i="3" s="1"/>
  <c r="J760" i="1"/>
  <c r="I760" i="1"/>
  <c r="H760" i="1"/>
  <c r="G763" i="3" s="1"/>
  <c r="J785" i="1"/>
  <c r="I785" i="1"/>
  <c r="H785" i="1"/>
  <c r="G788" i="3" s="1"/>
  <c r="J792" i="1"/>
  <c r="I792" i="1"/>
  <c r="H792" i="1"/>
  <c r="G795" i="3" s="1"/>
  <c r="I794" i="1"/>
  <c r="J794" i="1"/>
  <c r="H794" i="1"/>
  <c r="G797" i="3" s="1"/>
  <c r="I800" i="1"/>
  <c r="J800" i="1"/>
  <c r="H800" i="1"/>
  <c r="I803" i="1"/>
  <c r="J803" i="1"/>
  <c r="H803" i="1"/>
  <c r="I806" i="1"/>
  <c r="J806" i="1"/>
  <c r="H806" i="1"/>
  <c r="J816" i="1"/>
  <c r="I816" i="1"/>
  <c r="H816" i="1"/>
  <c r="J824" i="1"/>
  <c r="I824" i="1"/>
  <c r="H824" i="1"/>
  <c r="G827" i="3" s="1"/>
  <c r="I827" i="1"/>
  <c r="J827" i="1"/>
  <c r="H827" i="1"/>
  <c r="G830" i="3" s="1"/>
  <c r="I829" i="1"/>
  <c r="J829" i="1"/>
  <c r="H829" i="1"/>
  <c r="G832" i="3" s="1"/>
  <c r="I834" i="1"/>
  <c r="J834" i="1"/>
  <c r="H834" i="1"/>
  <c r="G837" i="3" s="1"/>
  <c r="J14" i="1"/>
  <c r="I14" i="1"/>
  <c r="H14" i="1"/>
  <c r="J16" i="1"/>
  <c r="I16" i="1"/>
  <c r="H16" i="1"/>
  <c r="G19" i="3" s="1"/>
  <c r="J18" i="1"/>
  <c r="I18" i="1"/>
  <c r="H18" i="1"/>
  <c r="G21" i="3" s="1"/>
  <c r="J20" i="1"/>
  <c r="I20" i="1"/>
  <c r="H20" i="1"/>
  <c r="G23" i="3" s="1"/>
  <c r="G28" i="3"/>
  <c r="J44" i="1"/>
  <c r="I44" i="1"/>
  <c r="H44" i="1"/>
  <c r="G47" i="3" s="1"/>
  <c r="J47" i="1"/>
  <c r="I47" i="1"/>
  <c r="H47" i="1"/>
  <c r="G50" i="3" s="1"/>
  <c r="I97" i="1"/>
  <c r="J97" i="1"/>
  <c r="H97" i="1"/>
  <c r="G100" i="3" s="1"/>
  <c r="I108" i="1"/>
  <c r="J108" i="1"/>
  <c r="H108" i="1"/>
  <c r="G111" i="3" s="1"/>
  <c r="I129" i="1"/>
  <c r="J129" i="1"/>
  <c r="H129" i="1"/>
  <c r="G132" i="3" s="1"/>
  <c r="I139" i="1"/>
  <c r="J139" i="1"/>
  <c r="H139" i="1"/>
  <c r="G142" i="3" s="1"/>
  <c r="I149" i="1"/>
  <c r="J149" i="1"/>
  <c r="H149" i="1"/>
  <c r="G152" i="3" s="1"/>
  <c r="J151" i="1"/>
  <c r="I151" i="1"/>
  <c r="H151" i="1"/>
  <c r="G154" i="3" s="1"/>
  <c r="J155" i="1"/>
  <c r="I155" i="1"/>
  <c r="H155" i="1"/>
  <c r="G158" i="3" s="1"/>
  <c r="J157" i="1"/>
  <c r="I157" i="1"/>
  <c r="H157" i="1"/>
  <c r="G160" i="3" s="1"/>
  <c r="I164" i="1"/>
  <c r="J164" i="1"/>
  <c r="H164" i="1"/>
  <c r="G167" i="3" s="1"/>
  <c r="J166" i="1"/>
  <c r="I166" i="1"/>
  <c r="H166" i="1"/>
  <c r="G169" i="3" s="1"/>
  <c r="J170" i="1"/>
  <c r="I170" i="1"/>
  <c r="H170" i="1"/>
  <c r="G173" i="3" s="1"/>
  <c r="J172" i="1"/>
  <c r="I172" i="1"/>
  <c r="H172" i="1"/>
  <c r="G175" i="3" s="1"/>
  <c r="J177" i="1"/>
  <c r="I177" i="1"/>
  <c r="H177" i="1"/>
  <c r="G180" i="3" s="1"/>
  <c r="J183" i="1"/>
  <c r="I183" i="1"/>
  <c r="H183" i="1"/>
  <c r="G186" i="3" s="1"/>
  <c r="I187" i="1"/>
  <c r="V187" i="1" s="1"/>
  <c r="J187" i="1"/>
  <c r="H187" i="1"/>
  <c r="G190" i="3" s="1"/>
  <c r="J189" i="1"/>
  <c r="M189" i="1" s="1"/>
  <c r="I189" i="1"/>
  <c r="H189" i="1"/>
  <c r="G192" i="3" s="1"/>
  <c r="J209" i="1"/>
  <c r="I209" i="1"/>
  <c r="H209" i="1"/>
  <c r="G212" i="3" s="1"/>
  <c r="J214" i="1"/>
  <c r="I214" i="1"/>
  <c r="H214" i="1"/>
  <c r="G217" i="3" s="1"/>
  <c r="I218" i="1"/>
  <c r="J218" i="1"/>
  <c r="H218" i="1"/>
  <c r="G221" i="3" s="1"/>
  <c r="J222" i="1"/>
  <c r="I222" i="1"/>
  <c r="H222" i="1"/>
  <c r="G225" i="3" s="1"/>
  <c r="J224" i="1"/>
  <c r="I224" i="1"/>
  <c r="H224" i="1"/>
  <c r="G227" i="3" s="1"/>
  <c r="J238" i="1"/>
  <c r="I238" i="1"/>
  <c r="H238" i="1"/>
  <c r="G241" i="3" s="1"/>
  <c r="I242" i="1"/>
  <c r="J242" i="1"/>
  <c r="H242" i="1"/>
  <c r="G245" i="3" s="1"/>
  <c r="I245" i="1"/>
  <c r="J245" i="1"/>
  <c r="H245" i="1"/>
  <c r="G248" i="3" s="1"/>
  <c r="I247" i="1"/>
  <c r="J247" i="1"/>
  <c r="H247" i="1"/>
  <c r="G250" i="3" s="1"/>
  <c r="I250" i="1"/>
  <c r="J250" i="1"/>
  <c r="H250" i="1"/>
  <c r="G253" i="3" s="1"/>
  <c r="I253" i="1"/>
  <c r="J253" i="1"/>
  <c r="H253" i="1"/>
  <c r="J257" i="1"/>
  <c r="I257" i="1"/>
  <c r="H257" i="1"/>
  <c r="G260" i="3" s="1"/>
  <c r="I259" i="1"/>
  <c r="J259" i="1"/>
  <c r="H259" i="1"/>
  <c r="G262" i="3" s="1"/>
  <c r="J261" i="1"/>
  <c r="I261" i="1"/>
  <c r="H261" i="1"/>
  <c r="G264" i="3" s="1"/>
  <c r="J265" i="1"/>
  <c r="I265" i="1"/>
  <c r="H265" i="1"/>
  <c r="G268" i="3" s="1"/>
  <c r="I271" i="1"/>
  <c r="J271" i="1"/>
  <c r="H271" i="1"/>
  <c r="G274" i="3" s="1"/>
  <c r="J273" i="1"/>
  <c r="I273" i="1"/>
  <c r="H273" i="1"/>
  <c r="G276" i="3" s="1"/>
  <c r="I282" i="1"/>
  <c r="J282" i="1"/>
  <c r="H282" i="1"/>
  <c r="G285" i="3" s="1"/>
  <c r="I286" i="1"/>
  <c r="J286" i="1"/>
  <c r="H286" i="1"/>
  <c r="G289" i="3" s="1"/>
  <c r="I299" i="1"/>
  <c r="J299" i="1"/>
  <c r="H299" i="1"/>
  <c r="G302" i="3" s="1"/>
  <c r="I301" i="1"/>
  <c r="J301" i="1"/>
  <c r="H301" i="1"/>
  <c r="G304" i="3" s="1"/>
  <c r="J303" i="1"/>
  <c r="I303" i="1"/>
  <c r="H303" i="1"/>
  <c r="G306" i="3" s="1"/>
  <c r="I320" i="1"/>
  <c r="J320" i="1"/>
  <c r="H320" i="1"/>
  <c r="G323" i="3" s="1"/>
  <c r="I323" i="1"/>
  <c r="J323" i="1"/>
  <c r="H323" i="1"/>
  <c r="G326" i="3" s="1"/>
  <c r="I331" i="1"/>
  <c r="J331" i="1"/>
  <c r="H331" i="1"/>
  <c r="G334" i="3" s="1"/>
  <c r="I333" i="1"/>
  <c r="J333" i="1"/>
  <c r="H333" i="1"/>
  <c r="G336" i="3" s="1"/>
  <c r="I335" i="1"/>
  <c r="J335" i="1"/>
  <c r="H335" i="1"/>
  <c r="G338" i="3" s="1"/>
  <c r="I337" i="1"/>
  <c r="J337" i="1"/>
  <c r="H337" i="1"/>
  <c r="G340" i="3" s="1"/>
  <c r="I339" i="1"/>
  <c r="J339" i="1"/>
  <c r="H339" i="1"/>
  <c r="G342" i="3" s="1"/>
  <c r="I341" i="1"/>
  <c r="V341" i="1" s="1"/>
  <c r="J341" i="1"/>
  <c r="H341" i="1"/>
  <c r="G344" i="3" s="1"/>
  <c r="I343" i="1"/>
  <c r="J343" i="1"/>
  <c r="H343" i="1"/>
  <c r="G346" i="3" s="1"/>
  <c r="I345" i="1"/>
  <c r="V345" i="1" s="1"/>
  <c r="J345" i="1"/>
  <c r="H345" i="1"/>
  <c r="G348" i="3" s="1"/>
  <c r="H347" i="1"/>
  <c r="G350" i="3" s="1"/>
  <c r="I349" i="1"/>
  <c r="J349" i="1"/>
  <c r="H349" i="1"/>
  <c r="G352" i="3" s="1"/>
  <c r="I351" i="1"/>
  <c r="J351" i="1"/>
  <c r="H351" i="1"/>
  <c r="G354" i="3" s="1"/>
  <c r="I359" i="1"/>
  <c r="J359" i="1"/>
  <c r="H359" i="1"/>
  <c r="G362" i="3" s="1"/>
  <c r="I361" i="1"/>
  <c r="J361" i="1"/>
  <c r="H361" i="1"/>
  <c r="G364" i="3" s="1"/>
  <c r="I363" i="1"/>
  <c r="J363" i="1"/>
  <c r="H363" i="1"/>
  <c r="G366" i="3" s="1"/>
  <c r="I365" i="1"/>
  <c r="J365" i="1"/>
  <c r="H365" i="1"/>
  <c r="G368" i="3" s="1"/>
  <c r="I367" i="1"/>
  <c r="J367" i="1"/>
  <c r="H367" i="1"/>
  <c r="G370" i="3" s="1"/>
  <c r="I369" i="1"/>
  <c r="J369" i="1"/>
  <c r="H369" i="1"/>
  <c r="G372" i="3" s="1"/>
  <c r="I373" i="1"/>
  <c r="J373" i="1"/>
  <c r="H373" i="1"/>
  <c r="I378" i="1"/>
  <c r="J378" i="1"/>
  <c r="H378" i="1"/>
  <c r="G381" i="3" s="1"/>
  <c r="I380" i="1"/>
  <c r="J380" i="1"/>
  <c r="H380" i="1"/>
  <c r="G383" i="3" s="1"/>
  <c r="I382" i="1"/>
  <c r="J382" i="1"/>
  <c r="H382" i="1"/>
  <c r="G385" i="3" s="1"/>
  <c r="I385" i="1"/>
  <c r="V385" i="1" s="1"/>
  <c r="J385" i="1"/>
  <c r="H385" i="1"/>
  <c r="I390" i="1"/>
  <c r="J390" i="1"/>
  <c r="H390" i="1"/>
  <c r="I393" i="1"/>
  <c r="J393" i="1"/>
  <c r="H393" i="1"/>
  <c r="I396" i="1"/>
  <c r="J396" i="1"/>
  <c r="H396" i="1"/>
  <c r="I404" i="1"/>
  <c r="J404" i="1"/>
  <c r="H404" i="1"/>
  <c r="G407" i="3" s="1"/>
  <c r="I406" i="1"/>
  <c r="J406" i="1"/>
  <c r="H406" i="1"/>
  <c r="G409" i="3" s="1"/>
  <c r="I409" i="1"/>
  <c r="V409" i="1" s="1"/>
  <c r="J409" i="1"/>
  <c r="H409" i="1"/>
  <c r="G412" i="3" s="1"/>
  <c r="J411" i="1"/>
  <c r="I411" i="1"/>
  <c r="H411" i="1"/>
  <c r="G414" i="3" s="1"/>
  <c r="J420" i="1"/>
  <c r="I420" i="1"/>
  <c r="H420" i="1"/>
  <c r="I427" i="1"/>
  <c r="J427" i="1"/>
  <c r="H427" i="1"/>
  <c r="G430" i="3" s="1"/>
  <c r="I429" i="1"/>
  <c r="J429" i="1"/>
  <c r="H429" i="1"/>
  <c r="G432" i="3" s="1"/>
  <c r="I431" i="1"/>
  <c r="V431" i="1" s="1"/>
  <c r="J431" i="1"/>
  <c r="H431" i="1"/>
  <c r="G434" i="3" s="1"/>
  <c r="J435" i="1"/>
  <c r="I435" i="1"/>
  <c r="H435" i="1"/>
  <c r="G438" i="3" s="1"/>
  <c r="I437" i="1"/>
  <c r="J437" i="1"/>
  <c r="H437" i="1"/>
  <c r="G440" i="3" s="1"/>
  <c r="J440" i="1"/>
  <c r="I440" i="1"/>
  <c r="H440" i="1"/>
  <c r="G443" i="3" s="1"/>
  <c r="J444" i="1"/>
  <c r="I444" i="1"/>
  <c r="H444" i="1"/>
  <c r="G447" i="3" s="1"/>
  <c r="J446" i="1"/>
  <c r="I446" i="1"/>
  <c r="H446" i="1"/>
  <c r="G449" i="3" s="1"/>
  <c r="I461" i="1"/>
  <c r="J461" i="1"/>
  <c r="H461" i="1"/>
  <c r="G464" i="3" s="1"/>
  <c r="I466" i="1"/>
  <c r="J466" i="1"/>
  <c r="H466" i="1"/>
  <c r="G469" i="3" s="1"/>
  <c r="I468" i="1"/>
  <c r="J468" i="1"/>
  <c r="H468" i="1"/>
  <c r="G471" i="3" s="1"/>
  <c r="I470" i="1"/>
  <c r="J470" i="1"/>
  <c r="H470" i="1"/>
  <c r="G473" i="3" s="1"/>
  <c r="I473" i="1"/>
  <c r="J473" i="1"/>
  <c r="H473" i="1"/>
  <c r="G476" i="3" s="1"/>
  <c r="I475" i="1"/>
  <c r="J475" i="1"/>
  <c r="H475" i="1"/>
  <c r="G478" i="3" s="1"/>
  <c r="I477" i="1"/>
  <c r="J477" i="1"/>
  <c r="H477" i="1"/>
  <c r="G480" i="3" s="1"/>
  <c r="I479" i="1"/>
  <c r="J479" i="1"/>
  <c r="H479" i="1"/>
  <c r="G482" i="3" s="1"/>
  <c r="I481" i="1"/>
  <c r="J481" i="1"/>
  <c r="H481" i="1"/>
  <c r="G484" i="3" s="1"/>
  <c r="I483" i="1"/>
  <c r="V483" i="1" s="1"/>
  <c r="J483" i="1"/>
  <c r="H483" i="1"/>
  <c r="G486" i="3" s="1"/>
  <c r="I485" i="1"/>
  <c r="J485" i="1"/>
  <c r="H485" i="1"/>
  <c r="G488" i="3" s="1"/>
  <c r="J487" i="1"/>
  <c r="I487" i="1"/>
  <c r="H487" i="1"/>
  <c r="G490" i="3" s="1"/>
  <c r="J489" i="1"/>
  <c r="I489" i="1"/>
  <c r="H489" i="1"/>
  <c r="G492" i="3" s="1"/>
  <c r="I493" i="1"/>
  <c r="J493" i="1"/>
  <c r="H493" i="1"/>
  <c r="G496" i="3" s="1"/>
  <c r="I499" i="1"/>
  <c r="J499" i="1"/>
  <c r="H499" i="1"/>
  <c r="G502" i="3" s="1"/>
  <c r="J501" i="1"/>
  <c r="I501" i="1"/>
  <c r="H501" i="1"/>
  <c r="G504" i="3" s="1"/>
  <c r="J509" i="1"/>
  <c r="I509" i="1"/>
  <c r="H509" i="1"/>
  <c r="G512" i="3" s="1"/>
  <c r="I516" i="1"/>
  <c r="J516" i="1"/>
  <c r="H516" i="1"/>
  <c r="G519" i="3" s="1"/>
  <c r="I523" i="1"/>
  <c r="J523" i="1"/>
  <c r="H523" i="1"/>
  <c r="G526" i="3" s="1"/>
  <c r="I525" i="1"/>
  <c r="J525" i="1"/>
  <c r="H525" i="1"/>
  <c r="G528" i="3" s="1"/>
  <c r="I528" i="1"/>
  <c r="J528" i="1"/>
  <c r="H528" i="1"/>
  <c r="G531" i="3" s="1"/>
  <c r="J530" i="1"/>
  <c r="I530" i="1"/>
  <c r="H530" i="1"/>
  <c r="G533" i="3" s="1"/>
  <c r="J535" i="1"/>
  <c r="I535" i="1"/>
  <c r="H535" i="1"/>
  <c r="G538" i="3" s="1"/>
  <c r="J543" i="1"/>
  <c r="I543" i="1"/>
  <c r="H543" i="1"/>
  <c r="G546" i="3" s="1"/>
  <c r="J548" i="1"/>
  <c r="I548" i="1"/>
  <c r="H548" i="1"/>
  <c r="G551" i="3" s="1"/>
  <c r="J553" i="1"/>
  <c r="I553" i="1"/>
  <c r="H553" i="1"/>
  <c r="G556" i="3" s="1"/>
  <c r="I557" i="1"/>
  <c r="J557" i="1"/>
  <c r="H557" i="1"/>
  <c r="G560" i="3" s="1"/>
  <c r="I561" i="1"/>
  <c r="J561" i="1"/>
  <c r="H561" i="1"/>
  <c r="G564" i="3" s="1"/>
  <c r="I565" i="1"/>
  <c r="J565" i="1"/>
  <c r="H565" i="1"/>
  <c r="I568" i="1"/>
  <c r="J568" i="1"/>
  <c r="H568" i="1"/>
  <c r="G571" i="3" s="1"/>
  <c r="I570" i="1"/>
  <c r="J570" i="1"/>
  <c r="H570" i="1"/>
  <c r="G573" i="3" s="1"/>
  <c r="H575" i="1"/>
  <c r="H578" i="1"/>
  <c r="G581" i="3" s="1"/>
  <c r="H580" i="1"/>
  <c r="G583" i="3" s="1"/>
  <c r="H582" i="1"/>
  <c r="G585" i="3" s="1"/>
  <c r="H585" i="1"/>
  <c r="H591" i="1"/>
  <c r="G594" i="3" s="1"/>
  <c r="H594" i="1"/>
  <c r="G597" i="3" s="1"/>
  <c r="H606" i="1"/>
  <c r="J575" i="1"/>
  <c r="P575" i="1" s="1"/>
  <c r="I575" i="1"/>
  <c r="J580" i="1"/>
  <c r="J578" i="1"/>
  <c r="I578" i="1"/>
  <c r="I580" i="1"/>
  <c r="J582" i="1"/>
  <c r="I582" i="1"/>
  <c r="J585" i="1"/>
  <c r="I585" i="1"/>
  <c r="J591" i="1"/>
  <c r="I591" i="1"/>
  <c r="I594" i="1"/>
  <c r="J594" i="1"/>
  <c r="J606" i="1"/>
  <c r="I606" i="1"/>
  <c r="V214" i="1" l="1"/>
  <c r="U214" i="1"/>
  <c r="V44" i="1"/>
  <c r="U44" i="1"/>
  <c r="V760" i="1"/>
  <c r="U760" i="1"/>
  <c r="V674" i="1"/>
  <c r="V548" i="1"/>
  <c r="U548" i="1"/>
  <c r="V404" i="1"/>
  <c r="V373" i="1"/>
  <c r="V299" i="1"/>
  <c r="U299" i="1"/>
  <c r="V273" i="1"/>
  <c r="U273" i="1"/>
  <c r="V209" i="1"/>
  <c r="U209" i="1"/>
  <c r="V139" i="1"/>
  <c r="U139" i="1"/>
  <c r="V651" i="1"/>
  <c r="V565" i="1"/>
  <c r="V301" i="1"/>
  <c r="U301" i="1"/>
  <c r="V806" i="1"/>
  <c r="V737" i="1"/>
  <c r="U737" i="1"/>
  <c r="V361" i="1"/>
  <c r="U361" i="1"/>
  <c r="V794" i="1"/>
  <c r="U794" i="1"/>
  <c r="V591" i="1"/>
  <c r="U591" i="1"/>
  <c r="V440" i="1"/>
  <c r="V427" i="1"/>
  <c r="V390" i="1"/>
  <c r="V303" i="1"/>
  <c r="U303" i="1"/>
  <c r="V247" i="1"/>
  <c r="V238" i="1"/>
  <c r="V183" i="1"/>
  <c r="V151" i="1"/>
  <c r="U151" i="1"/>
  <c r="V97" i="1"/>
  <c r="U97" i="1"/>
  <c r="V803" i="1"/>
  <c r="V792" i="1"/>
  <c r="V735" i="1"/>
  <c r="U735" i="1"/>
  <c r="V709" i="1"/>
  <c r="U709" i="1"/>
  <c r="V437" i="1"/>
  <c r="V166" i="1"/>
  <c r="V282" i="1"/>
  <c r="U282" i="1"/>
  <c r="V265" i="1"/>
  <c r="U265" i="1"/>
  <c r="V108" i="1"/>
  <c r="U108" i="1"/>
  <c r="V594" i="1"/>
  <c r="U594" i="1"/>
  <c r="V568" i="1"/>
  <c r="V380" i="1"/>
  <c r="U380" i="1"/>
  <c r="V20" i="1"/>
  <c r="V829" i="1"/>
  <c r="U829" i="1"/>
  <c r="V816" i="1"/>
  <c r="U816" i="1"/>
  <c r="V670" i="1"/>
  <c r="V659" i="1"/>
  <c r="V582" i="1"/>
  <c r="V535" i="1"/>
  <c r="V570" i="1"/>
  <c r="V834" i="1"/>
  <c r="U834" i="1"/>
  <c r="R575" i="1"/>
  <c r="U575" i="1"/>
  <c r="V575" i="1"/>
  <c r="V557" i="1"/>
  <c r="V446" i="1"/>
  <c r="V420" i="1"/>
  <c r="V396" i="1"/>
  <c r="V286" i="1"/>
  <c r="U286" i="1"/>
  <c r="V189" i="1"/>
  <c r="U189" i="1"/>
  <c r="V129" i="1"/>
  <c r="U129" i="1"/>
  <c r="V47" i="1"/>
  <c r="U47" i="1"/>
  <c r="V14" i="1"/>
  <c r="V739" i="1"/>
  <c r="V640" i="1"/>
  <c r="V149" i="1"/>
  <c r="U149" i="1"/>
  <c r="V580" i="1"/>
  <c r="V477" i="1"/>
  <c r="V320" i="1"/>
  <c r="U320" i="1"/>
  <c r="V479" i="1"/>
  <c r="V363" i="1"/>
  <c r="U363" i="1"/>
  <c r="V271" i="1"/>
  <c r="U271" i="1"/>
  <c r="V224" i="1"/>
  <c r="U224" i="1"/>
  <c r="V177" i="1"/>
  <c r="V707" i="1"/>
  <c r="U707" i="1"/>
  <c r="V664" i="1"/>
  <c r="U664" i="1"/>
  <c r="V622" i="1"/>
  <c r="U622" i="1"/>
  <c r="J522" i="1"/>
  <c r="H573" i="3"/>
  <c r="R570" i="1"/>
  <c r="Q570" i="1"/>
  <c r="J512" i="3"/>
  <c r="H471" i="3"/>
  <c r="R468" i="1"/>
  <c r="Q468" i="1"/>
  <c r="I414" i="3"/>
  <c r="P411" i="1"/>
  <c r="O411" i="1"/>
  <c r="I336" i="3"/>
  <c r="P333" i="1"/>
  <c r="O333" i="1"/>
  <c r="H274" i="3"/>
  <c r="R271" i="1"/>
  <c r="Q271" i="1"/>
  <c r="J241" i="3"/>
  <c r="J169" i="3"/>
  <c r="H142" i="3"/>
  <c r="R139" i="1"/>
  <c r="Q139" i="1"/>
  <c r="J21" i="3"/>
  <c r="R806" i="1"/>
  <c r="Q806" i="1"/>
  <c r="J763" i="3"/>
  <c r="H710" i="3"/>
  <c r="R707" i="1"/>
  <c r="Q707" i="1"/>
  <c r="K821" i="3"/>
  <c r="K775" i="3"/>
  <c r="K694" i="3"/>
  <c r="K675" i="3"/>
  <c r="K645" i="3"/>
  <c r="K626" i="3"/>
  <c r="K562" i="3"/>
  <c r="K542" i="3"/>
  <c r="K509" i="3"/>
  <c r="K468" i="3"/>
  <c r="K331" i="3"/>
  <c r="K283" i="3"/>
  <c r="K247" i="3"/>
  <c r="K204" i="3"/>
  <c r="K133" i="3"/>
  <c r="K98" i="3"/>
  <c r="K49" i="3"/>
  <c r="H370" i="3"/>
  <c r="R367" i="1"/>
  <c r="Q367" i="1"/>
  <c r="I364" i="3"/>
  <c r="P361" i="1"/>
  <c r="O361" i="1"/>
  <c r="I346" i="3"/>
  <c r="P343" i="1"/>
  <c r="O343" i="1"/>
  <c r="H336" i="3"/>
  <c r="R333" i="1"/>
  <c r="Q333" i="1"/>
  <c r="J680" i="3"/>
  <c r="J673" i="3"/>
  <c r="J665" i="3"/>
  <c r="H657" i="3"/>
  <c r="R654" i="1"/>
  <c r="Q654" i="1"/>
  <c r="H643" i="3"/>
  <c r="R640" i="1"/>
  <c r="Q640" i="1"/>
  <c r="H632" i="3"/>
  <c r="R629" i="1"/>
  <c r="Q629" i="1"/>
  <c r="K46" i="3"/>
  <c r="K38" i="3"/>
  <c r="K30" i="3"/>
  <c r="K829" i="3"/>
  <c r="K820" i="3"/>
  <c r="K791" i="3"/>
  <c r="K782" i="3"/>
  <c r="K774" i="3"/>
  <c r="K766" i="3"/>
  <c r="K756" i="3"/>
  <c r="K745" i="3"/>
  <c r="K731" i="3"/>
  <c r="K704" i="3"/>
  <c r="K693" i="3"/>
  <c r="K685" i="3"/>
  <c r="K674" i="3"/>
  <c r="K663" i="3"/>
  <c r="K652" i="3"/>
  <c r="K644" i="3"/>
  <c r="K634" i="3"/>
  <c r="K561" i="3"/>
  <c r="K550" i="3"/>
  <c r="K541" i="3"/>
  <c r="K517" i="3"/>
  <c r="K508" i="3"/>
  <c r="K495" i="3"/>
  <c r="K467" i="3"/>
  <c r="K458" i="3"/>
  <c r="K450" i="3"/>
  <c r="K420" i="3"/>
  <c r="K390" i="3"/>
  <c r="K330" i="3"/>
  <c r="K320" i="3"/>
  <c r="K312" i="3"/>
  <c r="K301" i="3"/>
  <c r="K292" i="3"/>
  <c r="K282" i="3"/>
  <c r="K272" i="3"/>
  <c r="K246" i="3"/>
  <c r="K235" i="3"/>
  <c r="K213" i="3"/>
  <c r="K203" i="3"/>
  <c r="K195" i="3"/>
  <c r="K183" i="3"/>
  <c r="K171" i="3"/>
  <c r="K161" i="3"/>
  <c r="K149" i="3"/>
  <c r="K140" i="3"/>
  <c r="K131" i="3"/>
  <c r="K123" i="3"/>
  <c r="K115" i="3"/>
  <c r="K106" i="3"/>
  <c r="K97" i="3"/>
  <c r="K89" i="3"/>
  <c r="K81" i="3"/>
  <c r="K73" i="3"/>
  <c r="K65" i="3"/>
  <c r="K57" i="3"/>
  <c r="K48" i="3"/>
  <c r="J364" i="3"/>
  <c r="J340" i="3"/>
  <c r="J583" i="3"/>
  <c r="H560" i="3"/>
  <c r="R557" i="1"/>
  <c r="Q557" i="1"/>
  <c r="H502" i="3"/>
  <c r="R499" i="1"/>
  <c r="Q499" i="1"/>
  <c r="H464" i="3"/>
  <c r="R461" i="1"/>
  <c r="Q461" i="1"/>
  <c r="H409" i="3"/>
  <c r="R406" i="1"/>
  <c r="Q406" i="1"/>
  <c r="H302" i="3"/>
  <c r="R299" i="1"/>
  <c r="Q299" i="1"/>
  <c r="H248" i="3"/>
  <c r="R245" i="1"/>
  <c r="Q245" i="1"/>
  <c r="J175" i="3"/>
  <c r="K757" i="3"/>
  <c r="K664" i="3"/>
  <c r="K552" i="3"/>
  <c r="K497" i="3"/>
  <c r="K313" i="3"/>
  <c r="K236" i="3"/>
  <c r="K150" i="3"/>
  <c r="K107" i="3"/>
  <c r="J366" i="3"/>
  <c r="H597" i="3"/>
  <c r="R594" i="1"/>
  <c r="Q594" i="1"/>
  <c r="J585" i="3"/>
  <c r="J571" i="3"/>
  <c r="J564" i="3"/>
  <c r="H556" i="3"/>
  <c r="R553" i="1"/>
  <c r="Q553" i="1"/>
  <c r="H546" i="3"/>
  <c r="R543" i="1"/>
  <c r="Q543" i="1"/>
  <c r="H533" i="3"/>
  <c r="R530" i="1"/>
  <c r="Q530" i="1"/>
  <c r="J528" i="3"/>
  <c r="J519" i="3"/>
  <c r="H504" i="3"/>
  <c r="R501" i="1"/>
  <c r="Q501" i="1"/>
  <c r="J496" i="3"/>
  <c r="H490" i="3"/>
  <c r="R487" i="1"/>
  <c r="Q487" i="1"/>
  <c r="J486" i="3"/>
  <c r="J482" i="3"/>
  <c r="J478" i="3"/>
  <c r="J473" i="3"/>
  <c r="J469" i="3"/>
  <c r="H449" i="3"/>
  <c r="R446" i="1"/>
  <c r="Q446" i="1"/>
  <c r="H443" i="3"/>
  <c r="R440" i="1"/>
  <c r="Q440" i="1"/>
  <c r="H438" i="3"/>
  <c r="R435" i="1"/>
  <c r="Q435" i="1"/>
  <c r="J432" i="3"/>
  <c r="R420" i="1"/>
  <c r="Q420" i="1"/>
  <c r="J412" i="3"/>
  <c r="J407" i="3"/>
  <c r="J383" i="3"/>
  <c r="P373" i="1"/>
  <c r="O373" i="1"/>
  <c r="H364" i="3"/>
  <c r="R361" i="1"/>
  <c r="Q361" i="1"/>
  <c r="I352" i="3"/>
  <c r="P349" i="1"/>
  <c r="O349" i="1"/>
  <c r="H346" i="3"/>
  <c r="R343" i="1"/>
  <c r="Q343" i="1"/>
  <c r="I340" i="3"/>
  <c r="P337" i="1"/>
  <c r="O337" i="1"/>
  <c r="J323" i="3"/>
  <c r="J304" i="3"/>
  <c r="J289" i="3"/>
  <c r="H276" i="3"/>
  <c r="R273" i="1"/>
  <c r="Q273" i="1"/>
  <c r="H268" i="3"/>
  <c r="R265" i="1"/>
  <c r="Q265" i="1"/>
  <c r="J262" i="3"/>
  <c r="J250" i="3"/>
  <c r="J245" i="3"/>
  <c r="H227" i="3"/>
  <c r="R224" i="1"/>
  <c r="Q224" i="1"/>
  <c r="J221" i="3"/>
  <c r="H212" i="3"/>
  <c r="R209" i="1"/>
  <c r="Q209" i="1"/>
  <c r="J190" i="3"/>
  <c r="H180" i="3"/>
  <c r="R177" i="1"/>
  <c r="Q177" i="1"/>
  <c r="H173" i="3"/>
  <c r="R170" i="1"/>
  <c r="Q170" i="1"/>
  <c r="J167" i="3"/>
  <c r="H158" i="3"/>
  <c r="R155" i="1"/>
  <c r="Q155" i="1"/>
  <c r="J152" i="3"/>
  <c r="J132" i="3"/>
  <c r="J100" i="3"/>
  <c r="H47" i="3"/>
  <c r="R44" i="1"/>
  <c r="Q44" i="1"/>
  <c r="H23" i="3"/>
  <c r="R20" i="1"/>
  <c r="Q20" i="1"/>
  <c r="H19" i="3"/>
  <c r="R16" i="1"/>
  <c r="Q16" i="1"/>
  <c r="J830" i="3"/>
  <c r="R816" i="1"/>
  <c r="Q816" i="1"/>
  <c r="H788" i="3"/>
  <c r="R785" i="1"/>
  <c r="Q785" i="1"/>
  <c r="H758" i="3"/>
  <c r="R755" i="1"/>
  <c r="Q755" i="1"/>
  <c r="H747" i="3"/>
  <c r="R744" i="1"/>
  <c r="Q744" i="1"/>
  <c r="H740" i="3"/>
  <c r="R737" i="1"/>
  <c r="Q737" i="1"/>
  <c r="R722" i="1"/>
  <c r="Q722" i="1"/>
  <c r="I680" i="3"/>
  <c r="P677" i="1"/>
  <c r="O677" i="1"/>
  <c r="I673" i="3"/>
  <c r="P670" i="1"/>
  <c r="O670" i="1"/>
  <c r="I665" i="3"/>
  <c r="P662" i="1"/>
  <c r="O662" i="1"/>
  <c r="I657" i="3"/>
  <c r="P654" i="1"/>
  <c r="O654" i="1"/>
  <c r="I643" i="3"/>
  <c r="P640" i="1"/>
  <c r="O640" i="1"/>
  <c r="I632" i="3"/>
  <c r="P629" i="1"/>
  <c r="O629" i="1"/>
  <c r="K45" i="3"/>
  <c r="K37" i="3"/>
  <c r="K29" i="3"/>
  <c r="K828" i="3"/>
  <c r="K790" i="3"/>
  <c r="K781" i="3"/>
  <c r="K773" i="3"/>
  <c r="K765" i="3"/>
  <c r="K755" i="3"/>
  <c r="K744" i="3"/>
  <c r="K730" i="3"/>
  <c r="K703" i="3"/>
  <c r="K692" i="3"/>
  <c r="K684" i="3"/>
  <c r="K672" i="3"/>
  <c r="K661" i="3"/>
  <c r="K651" i="3"/>
  <c r="K642" i="3"/>
  <c r="K633" i="3"/>
  <c r="K612" i="3"/>
  <c r="K559" i="3"/>
  <c r="K549" i="3"/>
  <c r="K540" i="3"/>
  <c r="K516" i="3"/>
  <c r="K507" i="3"/>
  <c r="K494" i="3"/>
  <c r="K466" i="3"/>
  <c r="K457" i="3"/>
  <c r="K419" i="3"/>
  <c r="K404" i="3"/>
  <c r="K389" i="3"/>
  <c r="K329" i="3"/>
  <c r="K319" i="3"/>
  <c r="K311" i="3"/>
  <c r="K300" i="3"/>
  <c r="K291" i="3"/>
  <c r="K281" i="3"/>
  <c r="K271" i="3"/>
  <c r="K258" i="3"/>
  <c r="K243" i="3"/>
  <c r="K234" i="3"/>
  <c r="K210" i="3"/>
  <c r="K202" i="3"/>
  <c r="K194" i="3"/>
  <c r="K182" i="3"/>
  <c r="K170" i="3"/>
  <c r="K148" i="3"/>
  <c r="K139" i="3"/>
  <c r="K130" i="3"/>
  <c r="K122" i="3"/>
  <c r="K114" i="3"/>
  <c r="K105" i="3"/>
  <c r="K96" i="3"/>
  <c r="K88" i="3"/>
  <c r="K80" i="3"/>
  <c r="K72" i="3"/>
  <c r="K64" i="3"/>
  <c r="K56" i="3"/>
  <c r="K426" i="3"/>
  <c r="J362" i="3"/>
  <c r="J338" i="3"/>
  <c r="J551" i="3"/>
  <c r="H480" i="3"/>
  <c r="R477" i="1"/>
  <c r="Q477" i="1"/>
  <c r="H354" i="3"/>
  <c r="R351" i="1"/>
  <c r="Q351" i="1"/>
  <c r="H285" i="3"/>
  <c r="R282" i="1"/>
  <c r="Q282" i="1"/>
  <c r="J217" i="3"/>
  <c r="J50" i="3"/>
  <c r="J749" i="3"/>
  <c r="K792" i="3"/>
  <c r="K705" i="3"/>
  <c r="K518" i="3"/>
  <c r="K321" i="3"/>
  <c r="K293" i="3"/>
  <c r="K196" i="3"/>
  <c r="K141" i="3"/>
  <c r="K124" i="3"/>
  <c r="K116" i="3"/>
  <c r="K82" i="3"/>
  <c r="K58" i="3"/>
  <c r="I583" i="3"/>
  <c r="P580" i="1"/>
  <c r="O580" i="1"/>
  <c r="H594" i="3"/>
  <c r="R591" i="1"/>
  <c r="Q591" i="1"/>
  <c r="I585" i="3"/>
  <c r="P582" i="1"/>
  <c r="O582" i="1"/>
  <c r="I571" i="3"/>
  <c r="P568" i="1"/>
  <c r="O568" i="1"/>
  <c r="I564" i="3"/>
  <c r="P561" i="1"/>
  <c r="O561" i="1"/>
  <c r="I556" i="3"/>
  <c r="P553" i="1"/>
  <c r="O553" i="1"/>
  <c r="I546" i="3"/>
  <c r="P543" i="1"/>
  <c r="O543" i="1"/>
  <c r="I533" i="3"/>
  <c r="P530" i="1"/>
  <c r="O530" i="1"/>
  <c r="I528" i="3"/>
  <c r="P525" i="1"/>
  <c r="O525" i="1"/>
  <c r="I519" i="3"/>
  <c r="P516" i="1"/>
  <c r="O516" i="1"/>
  <c r="I504" i="3"/>
  <c r="P501" i="1"/>
  <c r="O501" i="1"/>
  <c r="I496" i="3"/>
  <c r="P493" i="1"/>
  <c r="O493" i="1"/>
  <c r="J490" i="3"/>
  <c r="I486" i="3"/>
  <c r="P483" i="1"/>
  <c r="O483" i="1"/>
  <c r="I482" i="3"/>
  <c r="P479" i="1"/>
  <c r="O479" i="1"/>
  <c r="I478" i="3"/>
  <c r="P475" i="1"/>
  <c r="O475" i="1"/>
  <c r="I473" i="3"/>
  <c r="P470" i="1"/>
  <c r="O470" i="1"/>
  <c r="I469" i="3"/>
  <c r="P466" i="1"/>
  <c r="O466" i="1"/>
  <c r="I449" i="3"/>
  <c r="P446" i="1"/>
  <c r="O446" i="1"/>
  <c r="I443" i="3"/>
  <c r="P440" i="1"/>
  <c r="O440" i="1"/>
  <c r="I438" i="3"/>
  <c r="P435" i="1"/>
  <c r="O435" i="1"/>
  <c r="I432" i="3"/>
  <c r="P429" i="1"/>
  <c r="O429" i="1"/>
  <c r="P420" i="1"/>
  <c r="O420" i="1"/>
  <c r="I412" i="3"/>
  <c r="P409" i="1"/>
  <c r="O409" i="1"/>
  <c r="I407" i="3"/>
  <c r="P404" i="1"/>
  <c r="O404" i="1"/>
  <c r="P393" i="1"/>
  <c r="O393" i="1"/>
  <c r="P385" i="1"/>
  <c r="O385" i="1"/>
  <c r="I383" i="3"/>
  <c r="P380" i="1"/>
  <c r="O380" i="1"/>
  <c r="R373" i="1"/>
  <c r="Q373" i="1"/>
  <c r="I368" i="3"/>
  <c r="P365" i="1"/>
  <c r="O365" i="1"/>
  <c r="H352" i="3"/>
  <c r="R349" i="1"/>
  <c r="Q349" i="1"/>
  <c r="H340" i="3"/>
  <c r="R337" i="1"/>
  <c r="Q337" i="1"/>
  <c r="I334" i="3"/>
  <c r="P331" i="1"/>
  <c r="O331" i="1"/>
  <c r="I323" i="3"/>
  <c r="P320" i="1"/>
  <c r="O320" i="1"/>
  <c r="I304" i="3"/>
  <c r="P301" i="1"/>
  <c r="O301" i="1"/>
  <c r="I289" i="3"/>
  <c r="P286" i="1"/>
  <c r="O286" i="1"/>
  <c r="I276" i="3"/>
  <c r="P273" i="1"/>
  <c r="O273" i="1"/>
  <c r="I268" i="3"/>
  <c r="P265" i="1"/>
  <c r="O265" i="1"/>
  <c r="I262" i="3"/>
  <c r="P259" i="1"/>
  <c r="O259" i="1"/>
  <c r="P253" i="1"/>
  <c r="O253" i="1"/>
  <c r="I250" i="3"/>
  <c r="P247" i="1"/>
  <c r="O247" i="1"/>
  <c r="I245" i="3"/>
  <c r="P242" i="1"/>
  <c r="O242" i="1"/>
  <c r="I227" i="3"/>
  <c r="P224" i="1"/>
  <c r="O224" i="1"/>
  <c r="I221" i="3"/>
  <c r="P218" i="1"/>
  <c r="O218" i="1"/>
  <c r="I212" i="3"/>
  <c r="P209" i="1"/>
  <c r="O209" i="1"/>
  <c r="I190" i="3"/>
  <c r="P187" i="1"/>
  <c r="O187" i="1"/>
  <c r="I180" i="3"/>
  <c r="P177" i="1"/>
  <c r="O177" i="1"/>
  <c r="I173" i="3"/>
  <c r="P170" i="1"/>
  <c r="O170" i="1"/>
  <c r="I167" i="3"/>
  <c r="P164" i="1"/>
  <c r="O164" i="1"/>
  <c r="J158" i="3"/>
  <c r="I152" i="3"/>
  <c r="P149" i="1"/>
  <c r="O149" i="1"/>
  <c r="I132" i="3"/>
  <c r="P129" i="1"/>
  <c r="O129" i="1"/>
  <c r="I100" i="3"/>
  <c r="P97" i="1"/>
  <c r="O97" i="1"/>
  <c r="I47" i="3"/>
  <c r="P44" i="1"/>
  <c r="O44" i="1"/>
  <c r="I23" i="3"/>
  <c r="P20" i="1"/>
  <c r="O20" i="1"/>
  <c r="I19" i="3"/>
  <c r="P16" i="1"/>
  <c r="O16" i="1"/>
  <c r="I837" i="3"/>
  <c r="P834" i="1"/>
  <c r="O834" i="1"/>
  <c r="I830" i="3"/>
  <c r="P827" i="1"/>
  <c r="O827" i="1"/>
  <c r="P816" i="1"/>
  <c r="O816" i="1"/>
  <c r="P803" i="1"/>
  <c r="O803" i="1"/>
  <c r="I797" i="3"/>
  <c r="P794" i="1"/>
  <c r="O794" i="1"/>
  <c r="I788" i="3"/>
  <c r="P785" i="1"/>
  <c r="O785" i="1"/>
  <c r="I758" i="3"/>
  <c r="P755" i="1"/>
  <c r="O755" i="1"/>
  <c r="I747" i="3"/>
  <c r="P744" i="1"/>
  <c r="O744" i="1"/>
  <c r="I740" i="3"/>
  <c r="P737" i="1"/>
  <c r="O737" i="1"/>
  <c r="P732" i="1"/>
  <c r="O732" i="1"/>
  <c r="P722" i="1"/>
  <c r="O722" i="1"/>
  <c r="I712" i="3"/>
  <c r="P709" i="1"/>
  <c r="O709" i="1"/>
  <c r="P705" i="1"/>
  <c r="O705" i="1"/>
  <c r="H680" i="3"/>
  <c r="R677" i="1"/>
  <c r="Q677" i="1"/>
  <c r="H673" i="3"/>
  <c r="R670" i="1"/>
  <c r="Q670" i="1"/>
  <c r="H665" i="3"/>
  <c r="R662" i="1"/>
  <c r="Q662" i="1"/>
  <c r="J657" i="3"/>
  <c r="J643" i="3"/>
  <c r="J632" i="3"/>
  <c r="K44" i="3"/>
  <c r="K36" i="3"/>
  <c r="K27" i="3"/>
  <c r="K826" i="3"/>
  <c r="K789" i="3"/>
  <c r="K780" i="3"/>
  <c r="K772" i="3"/>
  <c r="K764" i="3"/>
  <c r="K754" i="3"/>
  <c r="K743" i="3"/>
  <c r="K729" i="3"/>
  <c r="K702" i="3"/>
  <c r="K691" i="3"/>
  <c r="K683" i="3"/>
  <c r="K671" i="3"/>
  <c r="K660" i="3"/>
  <c r="K650" i="3"/>
  <c r="K641" i="3"/>
  <c r="K631" i="3"/>
  <c r="K611" i="3"/>
  <c r="K558" i="3"/>
  <c r="K548" i="3"/>
  <c r="K539" i="3"/>
  <c r="K515" i="3"/>
  <c r="K506" i="3"/>
  <c r="K493" i="3"/>
  <c r="K465" i="3"/>
  <c r="K456" i="3"/>
  <c r="K446" i="3"/>
  <c r="K418" i="3"/>
  <c r="K403" i="3"/>
  <c r="K328" i="3"/>
  <c r="K318" i="3"/>
  <c r="K310" i="3"/>
  <c r="K299" i="3"/>
  <c r="K290" i="3"/>
  <c r="K280" i="3"/>
  <c r="K270" i="3"/>
  <c r="K257" i="3"/>
  <c r="K242" i="3"/>
  <c r="K233" i="3"/>
  <c r="K220" i="3"/>
  <c r="K209" i="3"/>
  <c r="K201" i="3"/>
  <c r="K193" i="3"/>
  <c r="K181" i="3"/>
  <c r="K157" i="3"/>
  <c r="K147" i="3"/>
  <c r="K138" i="3"/>
  <c r="K129" i="3"/>
  <c r="K121" i="3"/>
  <c r="K113" i="3"/>
  <c r="K104" i="3"/>
  <c r="K95" i="3"/>
  <c r="K87" i="3"/>
  <c r="K79" i="3"/>
  <c r="K71" i="3"/>
  <c r="K63" i="3"/>
  <c r="K55" i="3"/>
  <c r="K377" i="3"/>
  <c r="J354" i="3"/>
  <c r="J336" i="3"/>
  <c r="I597" i="3"/>
  <c r="P594" i="1"/>
  <c r="O594" i="1"/>
  <c r="J538" i="3"/>
  <c r="H488" i="3"/>
  <c r="R485" i="1"/>
  <c r="Q485" i="1"/>
  <c r="H440" i="3"/>
  <c r="R437" i="1"/>
  <c r="Q437" i="1"/>
  <c r="H385" i="3"/>
  <c r="R382" i="1"/>
  <c r="Q382" i="1"/>
  <c r="H342" i="3"/>
  <c r="R339" i="1"/>
  <c r="Q339" i="1"/>
  <c r="J264" i="3"/>
  <c r="J192" i="3"/>
  <c r="H111" i="3"/>
  <c r="R108" i="1"/>
  <c r="Q108" i="1"/>
  <c r="R800" i="1"/>
  <c r="Q800" i="1"/>
  <c r="R725" i="1"/>
  <c r="Q725" i="1"/>
  <c r="K31" i="3"/>
  <c r="K767" i="3"/>
  <c r="K686" i="3"/>
  <c r="K459" i="3"/>
  <c r="K273" i="3"/>
  <c r="K162" i="3"/>
  <c r="K90" i="3"/>
  <c r="J342" i="3"/>
  <c r="H585" i="3"/>
  <c r="R582" i="1"/>
  <c r="Q582" i="1"/>
  <c r="H583" i="3"/>
  <c r="R580" i="1"/>
  <c r="Q580" i="1"/>
  <c r="H571" i="3"/>
  <c r="R568" i="1"/>
  <c r="Q568" i="1"/>
  <c r="H564" i="3"/>
  <c r="R561" i="1"/>
  <c r="Q561" i="1"/>
  <c r="J556" i="3"/>
  <c r="J546" i="3"/>
  <c r="J533" i="3"/>
  <c r="H528" i="3"/>
  <c r="R525" i="1"/>
  <c r="Q525" i="1"/>
  <c r="H519" i="3"/>
  <c r="R516" i="1"/>
  <c r="Q516" i="1"/>
  <c r="J504" i="3"/>
  <c r="H496" i="3"/>
  <c r="R493" i="1"/>
  <c r="Q493" i="1"/>
  <c r="I490" i="3"/>
  <c r="P487" i="1"/>
  <c r="O487" i="1"/>
  <c r="H486" i="3"/>
  <c r="R483" i="1"/>
  <c r="Q483" i="1"/>
  <c r="H482" i="3"/>
  <c r="R479" i="1"/>
  <c r="Q479" i="1"/>
  <c r="H478" i="3"/>
  <c r="R475" i="1"/>
  <c r="Q475" i="1"/>
  <c r="H473" i="3"/>
  <c r="R470" i="1"/>
  <c r="Q470" i="1"/>
  <c r="H469" i="3"/>
  <c r="R466" i="1"/>
  <c r="Q466" i="1"/>
  <c r="J449" i="3"/>
  <c r="J443" i="3"/>
  <c r="J438" i="3"/>
  <c r="H432" i="3"/>
  <c r="R429" i="1"/>
  <c r="Q429" i="1"/>
  <c r="H412" i="3"/>
  <c r="R409" i="1"/>
  <c r="Q409" i="1"/>
  <c r="H407" i="3"/>
  <c r="R404" i="1"/>
  <c r="Q404" i="1"/>
  <c r="R393" i="1"/>
  <c r="Q393" i="1"/>
  <c r="R385" i="1"/>
  <c r="Q385" i="1"/>
  <c r="H383" i="3"/>
  <c r="R380" i="1"/>
  <c r="Q380" i="1"/>
  <c r="H368" i="3"/>
  <c r="R365" i="1"/>
  <c r="Q365" i="1"/>
  <c r="I362" i="3"/>
  <c r="P359" i="1"/>
  <c r="O359" i="1"/>
  <c r="I344" i="3"/>
  <c r="P341" i="1"/>
  <c r="O341" i="1"/>
  <c r="H334" i="3"/>
  <c r="R331" i="1"/>
  <c r="Q331" i="1"/>
  <c r="H323" i="3"/>
  <c r="R320" i="1"/>
  <c r="Q320" i="1"/>
  <c r="H304" i="3"/>
  <c r="R301" i="1"/>
  <c r="Q301" i="1"/>
  <c r="H289" i="3"/>
  <c r="R286" i="1"/>
  <c r="Q286" i="1"/>
  <c r="J276" i="3"/>
  <c r="J268" i="3"/>
  <c r="H262" i="3"/>
  <c r="R259" i="1"/>
  <c r="Q259" i="1"/>
  <c r="R253" i="1"/>
  <c r="Q253" i="1"/>
  <c r="H250" i="3"/>
  <c r="R247" i="1"/>
  <c r="Q247" i="1"/>
  <c r="H245" i="3"/>
  <c r="R242" i="1"/>
  <c r="Q242" i="1"/>
  <c r="J227" i="3"/>
  <c r="H221" i="3"/>
  <c r="R218" i="1"/>
  <c r="Q218" i="1"/>
  <c r="J212" i="3"/>
  <c r="H190" i="3"/>
  <c r="R187" i="1"/>
  <c r="Q187" i="1"/>
  <c r="J180" i="3"/>
  <c r="J173" i="3"/>
  <c r="H167" i="3"/>
  <c r="R164" i="1"/>
  <c r="Q164" i="1"/>
  <c r="I158" i="3"/>
  <c r="P155" i="1"/>
  <c r="O155" i="1"/>
  <c r="H152" i="3"/>
  <c r="R149" i="1"/>
  <c r="Q149" i="1"/>
  <c r="H132" i="3"/>
  <c r="R129" i="1"/>
  <c r="Q129" i="1"/>
  <c r="H100" i="3"/>
  <c r="R97" i="1"/>
  <c r="Q97" i="1"/>
  <c r="J47" i="3"/>
  <c r="J23" i="3"/>
  <c r="J19" i="3"/>
  <c r="H837" i="3"/>
  <c r="R834" i="1"/>
  <c r="Q834" i="1"/>
  <c r="H830" i="3"/>
  <c r="R827" i="1"/>
  <c r="Q827" i="1"/>
  <c r="R803" i="1"/>
  <c r="Q803" i="1"/>
  <c r="H797" i="3"/>
  <c r="R794" i="1"/>
  <c r="Q794" i="1"/>
  <c r="J788" i="3"/>
  <c r="J758" i="3"/>
  <c r="J747" i="3"/>
  <c r="J740" i="3"/>
  <c r="R732" i="1"/>
  <c r="Q732" i="1"/>
  <c r="H712" i="3"/>
  <c r="R709" i="1"/>
  <c r="Q709" i="1"/>
  <c r="R705" i="1"/>
  <c r="Q705" i="1"/>
  <c r="K43" i="3"/>
  <c r="K35" i="3"/>
  <c r="K26" i="3"/>
  <c r="K825" i="3"/>
  <c r="K787" i="3"/>
  <c r="K779" i="3"/>
  <c r="K771" i="3"/>
  <c r="K762" i="3"/>
  <c r="K753" i="3"/>
  <c r="K701" i="3"/>
  <c r="K690" i="3"/>
  <c r="K682" i="3"/>
  <c r="K670" i="3"/>
  <c r="K659" i="3"/>
  <c r="K649" i="3"/>
  <c r="K640" i="3"/>
  <c r="K630" i="3"/>
  <c r="K610" i="3"/>
  <c r="K557" i="3"/>
  <c r="K547" i="3"/>
  <c r="K537" i="3"/>
  <c r="K514" i="3"/>
  <c r="K505" i="3"/>
  <c r="K475" i="3"/>
  <c r="K463" i="3"/>
  <c r="K455" i="3"/>
  <c r="K445" i="3"/>
  <c r="K417" i="3"/>
  <c r="K402" i="3"/>
  <c r="K327" i="3"/>
  <c r="K317" i="3"/>
  <c r="K309" i="3"/>
  <c r="K298" i="3"/>
  <c r="K288" i="3"/>
  <c r="K279" i="3"/>
  <c r="K269" i="3"/>
  <c r="K240" i="3"/>
  <c r="K232" i="3"/>
  <c r="K219" i="3"/>
  <c r="K208" i="3"/>
  <c r="K200" i="3"/>
  <c r="K179" i="3"/>
  <c r="K166" i="3"/>
  <c r="K156" i="3"/>
  <c r="K146" i="3"/>
  <c r="K137" i="3"/>
  <c r="K128" i="3"/>
  <c r="K120" i="3"/>
  <c r="K112" i="3"/>
  <c r="K103" i="3"/>
  <c r="K94" i="3"/>
  <c r="K86" i="3"/>
  <c r="K78" i="3"/>
  <c r="K70" i="3"/>
  <c r="K62" i="3"/>
  <c r="K54" i="3"/>
  <c r="J352" i="3"/>
  <c r="J334" i="3"/>
  <c r="R565" i="1"/>
  <c r="Q565" i="1"/>
  <c r="H526" i="3"/>
  <c r="R523" i="1"/>
  <c r="Q523" i="1"/>
  <c r="J492" i="3"/>
  <c r="H476" i="3"/>
  <c r="R473" i="1"/>
  <c r="Q473" i="1"/>
  <c r="I447" i="3"/>
  <c r="P444" i="1"/>
  <c r="O444" i="1"/>
  <c r="H430" i="3"/>
  <c r="R427" i="1"/>
  <c r="Q427" i="1"/>
  <c r="R390" i="1"/>
  <c r="Q390" i="1"/>
  <c r="I370" i="3"/>
  <c r="P367" i="1"/>
  <c r="O367" i="1"/>
  <c r="J306" i="3"/>
  <c r="J260" i="3"/>
  <c r="J225" i="3"/>
  <c r="J160" i="3"/>
  <c r="H832" i="3"/>
  <c r="R829" i="1"/>
  <c r="Q829" i="1"/>
  <c r="J742" i="3"/>
  <c r="K39" i="3"/>
  <c r="K732" i="3"/>
  <c r="K653" i="3"/>
  <c r="K579" i="3"/>
  <c r="K451" i="3"/>
  <c r="K214" i="3"/>
  <c r="K74" i="3"/>
  <c r="R606" i="1"/>
  <c r="Q606" i="1"/>
  <c r="H581" i="3"/>
  <c r="R578" i="1"/>
  <c r="Q578" i="1"/>
  <c r="I372" i="3"/>
  <c r="P369" i="1"/>
  <c r="O369" i="1"/>
  <c r="H362" i="3"/>
  <c r="R359" i="1"/>
  <c r="Q359" i="1"/>
  <c r="H344" i="3"/>
  <c r="R341" i="1"/>
  <c r="Q341" i="1"/>
  <c r="I338" i="3"/>
  <c r="P335" i="1"/>
  <c r="O335" i="1"/>
  <c r="J677" i="3"/>
  <c r="H667" i="3"/>
  <c r="R664" i="1"/>
  <c r="Q664" i="1"/>
  <c r="H662" i="3"/>
  <c r="R659" i="1"/>
  <c r="Q659" i="1"/>
  <c r="H654" i="3"/>
  <c r="R651" i="1"/>
  <c r="Q651" i="1"/>
  <c r="H636" i="3"/>
  <c r="R633" i="1"/>
  <c r="Q633" i="1"/>
  <c r="H625" i="3"/>
  <c r="R622" i="1"/>
  <c r="Q622" i="1"/>
  <c r="K42" i="3"/>
  <c r="K34" i="3"/>
  <c r="K25" i="3"/>
  <c r="K824" i="3"/>
  <c r="K786" i="3"/>
  <c r="K778" i="3"/>
  <c r="K770" i="3"/>
  <c r="K752" i="3"/>
  <c r="K739" i="3"/>
  <c r="K698" i="3"/>
  <c r="K689" i="3"/>
  <c r="K681" i="3"/>
  <c r="K669" i="3"/>
  <c r="K658" i="3"/>
  <c r="K648" i="3"/>
  <c r="K639" i="3"/>
  <c r="K629" i="3"/>
  <c r="K555" i="3"/>
  <c r="K545" i="3"/>
  <c r="K536" i="3"/>
  <c r="K513" i="3"/>
  <c r="K474" i="3"/>
  <c r="K462" i="3"/>
  <c r="K454" i="3"/>
  <c r="K444" i="3"/>
  <c r="K416" i="3"/>
  <c r="K401" i="3"/>
  <c r="K325" i="3"/>
  <c r="K316" i="3"/>
  <c r="K308" i="3"/>
  <c r="K296" i="3"/>
  <c r="K287" i="3"/>
  <c r="K278" i="3"/>
  <c r="K267" i="3"/>
  <c r="K252" i="3"/>
  <c r="K239" i="3"/>
  <c r="K231" i="3"/>
  <c r="K218" i="3"/>
  <c r="K207" i="3"/>
  <c r="K199" i="3"/>
  <c r="K189" i="3"/>
  <c r="K178" i="3"/>
  <c r="K165" i="3"/>
  <c r="K155" i="3"/>
  <c r="K145" i="3"/>
  <c r="K136" i="3"/>
  <c r="K127" i="3"/>
  <c r="K119" i="3"/>
  <c r="K110" i="3"/>
  <c r="K102" i="3"/>
  <c r="K93" i="3"/>
  <c r="K85" i="3"/>
  <c r="K77" i="3"/>
  <c r="K69" i="3"/>
  <c r="K61" i="3"/>
  <c r="K53" i="3"/>
  <c r="J372" i="3"/>
  <c r="J348" i="3"/>
  <c r="J350" i="3"/>
  <c r="P585" i="1"/>
  <c r="O585" i="1"/>
  <c r="H531" i="3"/>
  <c r="R528" i="1"/>
  <c r="Q528" i="1"/>
  <c r="H484" i="3"/>
  <c r="R481" i="1"/>
  <c r="Q481" i="1"/>
  <c r="H434" i="3"/>
  <c r="R431" i="1"/>
  <c r="Q431" i="1"/>
  <c r="H381" i="3"/>
  <c r="R378" i="1"/>
  <c r="Q378" i="1"/>
  <c r="H326" i="3"/>
  <c r="R323" i="1"/>
  <c r="Q323" i="1"/>
  <c r="H253" i="3"/>
  <c r="R250" i="1"/>
  <c r="Q250" i="1"/>
  <c r="J186" i="3"/>
  <c r="J154" i="3"/>
  <c r="J28" i="3"/>
  <c r="J827" i="3"/>
  <c r="J795" i="3"/>
  <c r="R716" i="1"/>
  <c r="Q716" i="1"/>
  <c r="R697" i="1"/>
  <c r="Q697" i="1"/>
  <c r="K18" i="3"/>
  <c r="K783" i="3"/>
  <c r="K720" i="3"/>
  <c r="K635" i="3"/>
  <c r="K228" i="3"/>
  <c r="K66" i="3"/>
  <c r="I594" i="3"/>
  <c r="P591" i="1"/>
  <c r="O591" i="1"/>
  <c r="R585" i="1"/>
  <c r="Q585" i="1"/>
  <c r="J581" i="3"/>
  <c r="J573" i="3"/>
  <c r="J560" i="3"/>
  <c r="H551" i="3"/>
  <c r="R548" i="1"/>
  <c r="Q548" i="1"/>
  <c r="H538" i="3"/>
  <c r="R535" i="1"/>
  <c r="Q535" i="1"/>
  <c r="J531" i="3"/>
  <c r="J526" i="3"/>
  <c r="H512" i="3"/>
  <c r="R509" i="1"/>
  <c r="Q509" i="1"/>
  <c r="J502" i="3"/>
  <c r="H492" i="3"/>
  <c r="R489" i="1"/>
  <c r="Q489" i="1"/>
  <c r="J488" i="3"/>
  <c r="J484" i="3"/>
  <c r="J480" i="3"/>
  <c r="J476" i="3"/>
  <c r="J471" i="3"/>
  <c r="J464" i="3"/>
  <c r="H447" i="3"/>
  <c r="R444" i="1"/>
  <c r="Q444" i="1"/>
  <c r="J440" i="3"/>
  <c r="J434" i="3"/>
  <c r="J430" i="3"/>
  <c r="H414" i="3"/>
  <c r="R411" i="1"/>
  <c r="Q411" i="1"/>
  <c r="J409" i="3"/>
  <c r="P396" i="1"/>
  <c r="O396" i="1"/>
  <c r="J385" i="3"/>
  <c r="J381" i="3"/>
  <c r="H372" i="3"/>
  <c r="R369" i="1"/>
  <c r="Q369" i="1"/>
  <c r="I366" i="3"/>
  <c r="P363" i="1"/>
  <c r="O363" i="1"/>
  <c r="I348" i="3"/>
  <c r="P345" i="1"/>
  <c r="O345" i="1"/>
  <c r="H338" i="3"/>
  <c r="R335" i="1"/>
  <c r="Q335" i="1"/>
  <c r="J326" i="3"/>
  <c r="H306" i="3"/>
  <c r="R303" i="1"/>
  <c r="Q303" i="1"/>
  <c r="J302" i="3"/>
  <c r="J285" i="3"/>
  <c r="J274" i="3"/>
  <c r="H264" i="3"/>
  <c r="R261" i="1"/>
  <c r="Q261" i="1"/>
  <c r="H260" i="3"/>
  <c r="R257" i="1"/>
  <c r="Q257" i="1"/>
  <c r="J253" i="3"/>
  <c r="J248" i="3"/>
  <c r="H241" i="3"/>
  <c r="R238" i="1"/>
  <c r="Q238" i="1"/>
  <c r="H225" i="3"/>
  <c r="R222" i="1"/>
  <c r="Q222" i="1"/>
  <c r="H217" i="3"/>
  <c r="R214" i="1"/>
  <c r="Q214" i="1"/>
  <c r="H192" i="3"/>
  <c r="R189" i="1"/>
  <c r="Q189" i="1"/>
  <c r="H186" i="3"/>
  <c r="Q183" i="1"/>
  <c r="R183" i="1"/>
  <c r="H175" i="3"/>
  <c r="R172" i="1"/>
  <c r="Q172" i="1"/>
  <c r="H169" i="3"/>
  <c r="R166" i="1"/>
  <c r="Q166" i="1"/>
  <c r="H160" i="3"/>
  <c r="R157" i="1"/>
  <c r="Q157" i="1"/>
  <c r="H154" i="3"/>
  <c r="R151" i="1"/>
  <c r="Q151" i="1"/>
  <c r="J142" i="3"/>
  <c r="J111" i="3"/>
  <c r="H50" i="3"/>
  <c r="R47" i="1"/>
  <c r="Q47" i="1"/>
  <c r="H28" i="3"/>
  <c r="R25" i="1"/>
  <c r="Q25" i="1"/>
  <c r="H21" i="3"/>
  <c r="R18" i="1"/>
  <c r="Q18" i="1"/>
  <c r="R14" i="1"/>
  <c r="Q14" i="1"/>
  <c r="H827" i="3"/>
  <c r="R824" i="1"/>
  <c r="Q824" i="1"/>
  <c r="H795" i="3"/>
  <c r="R792" i="1"/>
  <c r="Q792" i="1"/>
  <c r="H763" i="3"/>
  <c r="R760" i="1"/>
  <c r="Q760" i="1"/>
  <c r="H749" i="3"/>
  <c r="R746" i="1"/>
  <c r="Q746" i="1"/>
  <c r="H742" i="3"/>
  <c r="R739" i="1"/>
  <c r="Q739" i="1"/>
  <c r="H738" i="3"/>
  <c r="R735" i="1"/>
  <c r="Q735" i="1"/>
  <c r="I677" i="3"/>
  <c r="P674" i="1"/>
  <c r="O674" i="1"/>
  <c r="I667" i="3"/>
  <c r="P664" i="1"/>
  <c r="O664" i="1"/>
  <c r="I662" i="3"/>
  <c r="P659" i="1"/>
  <c r="O659" i="1"/>
  <c r="I654" i="3"/>
  <c r="P651" i="1"/>
  <c r="O651" i="1"/>
  <c r="I636" i="3"/>
  <c r="P633" i="1"/>
  <c r="O633" i="1"/>
  <c r="I625" i="3"/>
  <c r="P622" i="1"/>
  <c r="O622" i="1"/>
  <c r="K41" i="3"/>
  <c r="K33" i="3"/>
  <c r="K24" i="3"/>
  <c r="K823" i="3"/>
  <c r="K794" i="3"/>
  <c r="K785" i="3"/>
  <c r="K777" i="3"/>
  <c r="K769" i="3"/>
  <c r="K760" i="3"/>
  <c r="K751" i="3"/>
  <c r="K722" i="3"/>
  <c r="K697" i="3"/>
  <c r="K688" i="3"/>
  <c r="K679" i="3"/>
  <c r="K668" i="3"/>
  <c r="K656" i="3"/>
  <c r="K647" i="3"/>
  <c r="K638" i="3"/>
  <c r="K628" i="3"/>
  <c r="K554" i="3"/>
  <c r="K544" i="3"/>
  <c r="K535" i="3"/>
  <c r="K521" i="3"/>
  <c r="K511" i="3"/>
  <c r="K499" i="3"/>
  <c r="K461" i="3"/>
  <c r="K453" i="3"/>
  <c r="K425" i="3"/>
  <c r="K415" i="3"/>
  <c r="K400" i="3"/>
  <c r="K324" i="3"/>
  <c r="K315" i="3"/>
  <c r="K307" i="3"/>
  <c r="K295" i="3"/>
  <c r="K286" i="3"/>
  <c r="K277" i="3"/>
  <c r="K266" i="3"/>
  <c r="K251" i="3"/>
  <c r="K238" i="3"/>
  <c r="K230" i="3"/>
  <c r="K216" i="3"/>
  <c r="K206" i="3"/>
  <c r="K198" i="3"/>
  <c r="K188" i="3"/>
  <c r="K177" i="3"/>
  <c r="K164" i="3"/>
  <c r="K144" i="3"/>
  <c r="K135" i="3"/>
  <c r="K126" i="3"/>
  <c r="K118" i="3"/>
  <c r="K109" i="3"/>
  <c r="K101" i="3"/>
  <c r="K92" i="3"/>
  <c r="K84" i="3"/>
  <c r="K76" i="3"/>
  <c r="K68" i="3"/>
  <c r="K60" i="3"/>
  <c r="K52" i="3"/>
  <c r="J370" i="3"/>
  <c r="J346" i="3"/>
  <c r="I350" i="3"/>
  <c r="P347" i="1"/>
  <c r="O347" i="1"/>
  <c r="P606" i="1"/>
  <c r="O606" i="1"/>
  <c r="I581" i="3"/>
  <c r="P578" i="1"/>
  <c r="O578" i="1"/>
  <c r="I573" i="3"/>
  <c r="P570" i="1"/>
  <c r="O570" i="1"/>
  <c r="P565" i="1"/>
  <c r="O565" i="1"/>
  <c r="I560" i="3"/>
  <c r="P557" i="1"/>
  <c r="O557" i="1"/>
  <c r="I551" i="3"/>
  <c r="P548" i="1"/>
  <c r="O548" i="1"/>
  <c r="I538" i="3"/>
  <c r="P535" i="1"/>
  <c r="O535" i="1"/>
  <c r="I531" i="3"/>
  <c r="P528" i="1"/>
  <c r="O528" i="1"/>
  <c r="I526" i="3"/>
  <c r="P523" i="1"/>
  <c r="O523" i="1"/>
  <c r="I512" i="3"/>
  <c r="P509" i="1"/>
  <c r="O509" i="1"/>
  <c r="I502" i="3"/>
  <c r="P499" i="1"/>
  <c r="O499" i="1"/>
  <c r="I492" i="3"/>
  <c r="P489" i="1"/>
  <c r="O489" i="1"/>
  <c r="I488" i="3"/>
  <c r="P485" i="1"/>
  <c r="O485" i="1"/>
  <c r="I484" i="3"/>
  <c r="P481" i="1"/>
  <c r="O481" i="1"/>
  <c r="I480" i="3"/>
  <c r="P477" i="1"/>
  <c r="O477" i="1"/>
  <c r="I476" i="3"/>
  <c r="P473" i="1"/>
  <c r="O473" i="1"/>
  <c r="I471" i="3"/>
  <c r="P468" i="1"/>
  <c r="O468" i="1"/>
  <c r="I464" i="3"/>
  <c r="P461" i="1"/>
  <c r="O461" i="1"/>
  <c r="J447" i="3"/>
  <c r="I440" i="3"/>
  <c r="P437" i="1"/>
  <c r="O437" i="1"/>
  <c r="I434" i="3"/>
  <c r="P431" i="1"/>
  <c r="O431" i="1"/>
  <c r="I430" i="3"/>
  <c r="P427" i="1"/>
  <c r="O427" i="1"/>
  <c r="J414" i="3"/>
  <c r="I409" i="3"/>
  <c r="P406" i="1"/>
  <c r="O406" i="1"/>
  <c r="R396" i="1"/>
  <c r="Q396" i="1"/>
  <c r="P390" i="1"/>
  <c r="O390" i="1"/>
  <c r="I385" i="3"/>
  <c r="P382" i="1"/>
  <c r="O382" i="1"/>
  <c r="I381" i="3"/>
  <c r="P378" i="1"/>
  <c r="O378" i="1"/>
  <c r="H366" i="3"/>
  <c r="R363" i="1"/>
  <c r="Q363" i="1"/>
  <c r="I354" i="3"/>
  <c r="P351" i="1"/>
  <c r="O351" i="1"/>
  <c r="H348" i="3"/>
  <c r="R345" i="1"/>
  <c r="Q345" i="1"/>
  <c r="I342" i="3"/>
  <c r="P339" i="1"/>
  <c r="O339" i="1"/>
  <c r="I326" i="3"/>
  <c r="P323" i="1"/>
  <c r="O323" i="1"/>
  <c r="I306" i="3"/>
  <c r="P303" i="1"/>
  <c r="O303" i="1"/>
  <c r="I302" i="3"/>
  <c r="P299" i="1"/>
  <c r="O299" i="1"/>
  <c r="I285" i="3"/>
  <c r="P282" i="1"/>
  <c r="O282" i="1"/>
  <c r="I274" i="3"/>
  <c r="P271" i="1"/>
  <c r="O271" i="1"/>
  <c r="I264" i="3"/>
  <c r="P261" i="1"/>
  <c r="O261" i="1"/>
  <c r="I260" i="3"/>
  <c r="P257" i="1"/>
  <c r="O257" i="1"/>
  <c r="I253" i="3"/>
  <c r="P250" i="1"/>
  <c r="O250" i="1"/>
  <c r="I248" i="3"/>
  <c r="P245" i="1"/>
  <c r="O245" i="1"/>
  <c r="I241" i="3"/>
  <c r="P238" i="1"/>
  <c r="O238" i="1"/>
  <c r="I225" i="3"/>
  <c r="P222" i="1"/>
  <c r="O222" i="1"/>
  <c r="I217" i="3"/>
  <c r="P214" i="1"/>
  <c r="O214" i="1"/>
  <c r="I192" i="3"/>
  <c r="P189" i="1"/>
  <c r="O189" i="1"/>
  <c r="I186" i="3"/>
  <c r="P183" i="1"/>
  <c r="O183" i="1"/>
  <c r="I175" i="3"/>
  <c r="P172" i="1"/>
  <c r="O172" i="1"/>
  <c r="I169" i="3"/>
  <c r="P166" i="1"/>
  <c r="O166" i="1"/>
  <c r="I160" i="3"/>
  <c r="P157" i="1"/>
  <c r="O157" i="1"/>
  <c r="I154" i="3"/>
  <c r="P151" i="1"/>
  <c r="O151" i="1"/>
  <c r="I142" i="3"/>
  <c r="P139" i="1"/>
  <c r="O139" i="1"/>
  <c r="I111" i="3"/>
  <c r="P108" i="1"/>
  <c r="O108" i="1"/>
  <c r="I50" i="3"/>
  <c r="P47" i="1"/>
  <c r="O47" i="1"/>
  <c r="I28" i="3"/>
  <c r="P25" i="1"/>
  <c r="O25" i="1"/>
  <c r="I21" i="3"/>
  <c r="P18" i="1"/>
  <c r="O18" i="1"/>
  <c r="P14" i="1"/>
  <c r="O14" i="1"/>
  <c r="I832" i="3"/>
  <c r="P829" i="1"/>
  <c r="O829" i="1"/>
  <c r="I827" i="3"/>
  <c r="P824" i="1"/>
  <c r="O824" i="1"/>
  <c r="P806" i="1"/>
  <c r="O806" i="1"/>
  <c r="P800" i="1"/>
  <c r="O800" i="1"/>
  <c r="I795" i="3"/>
  <c r="P792" i="1"/>
  <c r="O792" i="1"/>
  <c r="I763" i="3"/>
  <c r="P760" i="1"/>
  <c r="O760" i="1"/>
  <c r="I749" i="3"/>
  <c r="P746" i="1"/>
  <c r="O746" i="1"/>
  <c r="I742" i="3"/>
  <c r="P739" i="1"/>
  <c r="O739" i="1"/>
  <c r="I738" i="3"/>
  <c r="P735" i="1"/>
  <c r="O735" i="1"/>
  <c r="P725" i="1"/>
  <c r="O725" i="1"/>
  <c r="P716" i="1"/>
  <c r="O716" i="1"/>
  <c r="I710" i="3"/>
  <c r="P707" i="1"/>
  <c r="O707" i="1"/>
  <c r="P697" i="1"/>
  <c r="O697" i="1"/>
  <c r="H677" i="3"/>
  <c r="R674" i="1"/>
  <c r="Q674" i="1"/>
  <c r="J667" i="3"/>
  <c r="J662" i="3"/>
  <c r="J654" i="3"/>
  <c r="J636" i="3"/>
  <c r="J625" i="3"/>
  <c r="K40" i="3"/>
  <c r="K32" i="3"/>
  <c r="K822" i="3"/>
  <c r="K806" i="1"/>
  <c r="K793" i="3"/>
  <c r="K784" i="3"/>
  <c r="K776" i="3"/>
  <c r="K768" i="3"/>
  <c r="K759" i="3"/>
  <c r="K750" i="3"/>
  <c r="K733" i="3"/>
  <c r="K721" i="3"/>
  <c r="K706" i="3"/>
  <c r="K696" i="3"/>
  <c r="K687" i="3"/>
  <c r="K678" i="3"/>
  <c r="K655" i="3"/>
  <c r="K646" i="3"/>
  <c r="K637" i="3"/>
  <c r="K627" i="3"/>
  <c r="K563" i="3"/>
  <c r="K553" i="3"/>
  <c r="K543" i="3"/>
  <c r="K534" i="3"/>
  <c r="K520" i="3"/>
  <c r="K510" i="3"/>
  <c r="K498" i="3"/>
  <c r="K460" i="3"/>
  <c r="K452" i="3"/>
  <c r="K424" i="3"/>
  <c r="K378" i="3"/>
  <c r="K322" i="3"/>
  <c r="K314" i="3"/>
  <c r="K294" i="3"/>
  <c r="K284" i="3"/>
  <c r="K265" i="3"/>
  <c r="K237" i="3"/>
  <c r="K229" i="3"/>
  <c r="K215" i="3"/>
  <c r="K205" i="3"/>
  <c r="K197" i="3"/>
  <c r="K187" i="3"/>
  <c r="K176" i="3"/>
  <c r="K163" i="3"/>
  <c r="K151" i="3"/>
  <c r="K143" i="3"/>
  <c r="K134" i="3"/>
  <c r="K125" i="3"/>
  <c r="K117" i="3"/>
  <c r="K108" i="3"/>
  <c r="K99" i="3"/>
  <c r="K91" i="3"/>
  <c r="K83" i="3"/>
  <c r="K75" i="3"/>
  <c r="K67" i="3"/>
  <c r="K59" i="3"/>
  <c r="K51" i="3"/>
  <c r="J368" i="3"/>
  <c r="J344" i="3"/>
  <c r="H350" i="3"/>
  <c r="R347" i="1"/>
  <c r="Q347" i="1"/>
  <c r="K566" i="3"/>
  <c r="K522" i="3"/>
  <c r="L519" i="1"/>
  <c r="S519" i="1" s="1"/>
  <c r="I819" i="3"/>
  <c r="J815" i="1"/>
  <c r="I803" i="3"/>
  <c r="J799" i="1"/>
  <c r="J819" i="3"/>
  <c r="H803" i="3"/>
  <c r="I799" i="1"/>
  <c r="K524" i="3"/>
  <c r="L521" i="1"/>
  <c r="H819" i="3"/>
  <c r="I815" i="1"/>
  <c r="J803" i="3"/>
  <c r="K623" i="3"/>
  <c r="L620" i="1"/>
  <c r="S620" i="1" s="1"/>
  <c r="K576" i="3"/>
  <c r="L573" i="1"/>
  <c r="S573" i="1" s="1"/>
  <c r="G819" i="3"/>
  <c r="H815" i="1"/>
  <c r="G803" i="3"/>
  <c r="H799" i="1"/>
  <c r="G802" i="3" s="1"/>
  <c r="K523" i="3"/>
  <c r="L520" i="1"/>
  <c r="S520" i="1" s="1"/>
  <c r="K427" i="3"/>
  <c r="L424" i="1"/>
  <c r="S424" i="1" s="1"/>
  <c r="K379" i="3"/>
  <c r="L376" i="1"/>
  <c r="S376" i="1" s="1"/>
  <c r="K436" i="3"/>
  <c r="L433" i="1"/>
  <c r="S433" i="1" s="1"/>
  <c r="K428" i="3"/>
  <c r="L425" i="1"/>
  <c r="S425" i="1" s="1"/>
  <c r="K421" i="3"/>
  <c r="L418" i="1"/>
  <c r="S418" i="1" s="1"/>
  <c r="K184" i="3"/>
  <c r="L181" i="1"/>
  <c r="S181" i="1" s="1"/>
  <c r="J609" i="3"/>
  <c r="K594" i="3"/>
  <c r="J594" i="3"/>
  <c r="J584" i="1"/>
  <c r="I588" i="3"/>
  <c r="J574" i="1"/>
  <c r="I578" i="3"/>
  <c r="H584" i="1"/>
  <c r="G587" i="3" s="1"/>
  <c r="G588" i="3"/>
  <c r="H574" i="1"/>
  <c r="G577" i="3" s="1"/>
  <c r="G578" i="3"/>
  <c r="I564" i="1"/>
  <c r="H568" i="3"/>
  <c r="I605" i="1"/>
  <c r="H609" i="3"/>
  <c r="K597" i="3"/>
  <c r="J597" i="3"/>
  <c r="H605" i="1"/>
  <c r="G609" i="3"/>
  <c r="H564" i="1"/>
  <c r="G567" i="3" s="1"/>
  <c r="G568" i="3"/>
  <c r="H419" i="1"/>
  <c r="G422" i="3" s="1"/>
  <c r="G423" i="3"/>
  <c r="H395" i="1"/>
  <c r="G398" i="3" s="1"/>
  <c r="G399" i="3"/>
  <c r="H392" i="1"/>
  <c r="G395" i="3" s="1"/>
  <c r="G396" i="3"/>
  <c r="H389" i="1"/>
  <c r="G392" i="3" s="1"/>
  <c r="G393" i="3"/>
  <c r="H384" i="1"/>
  <c r="G387" i="3" s="1"/>
  <c r="G388" i="3"/>
  <c r="H372" i="1"/>
  <c r="G375" i="3" s="1"/>
  <c r="G376" i="3"/>
  <c r="H252" i="1"/>
  <c r="G255" i="3" s="1"/>
  <c r="G256" i="3"/>
  <c r="G17" i="3"/>
  <c r="I17" i="3"/>
  <c r="J805" i="1"/>
  <c r="I809" i="3"/>
  <c r="J802" i="1"/>
  <c r="I806" i="3"/>
  <c r="J731" i="1"/>
  <c r="I735" i="3"/>
  <c r="J724" i="1"/>
  <c r="I728" i="3"/>
  <c r="J721" i="1"/>
  <c r="I725" i="3"/>
  <c r="J715" i="1"/>
  <c r="I719" i="3"/>
  <c r="J704" i="1"/>
  <c r="I708" i="3"/>
  <c r="J696" i="1"/>
  <c r="I700" i="3"/>
  <c r="K18" i="1"/>
  <c r="V18" i="1" s="1"/>
  <c r="K22" i="3"/>
  <c r="K792" i="1"/>
  <c r="K796" i="3"/>
  <c r="K582" i="1"/>
  <c r="K586" i="3"/>
  <c r="K525" i="1"/>
  <c r="V525" i="1" s="1"/>
  <c r="K529" i="3"/>
  <c r="K499" i="1"/>
  <c r="K503" i="3"/>
  <c r="K485" i="1"/>
  <c r="K489" i="3"/>
  <c r="K477" i="1"/>
  <c r="K481" i="3"/>
  <c r="K431" i="1"/>
  <c r="K435" i="3"/>
  <c r="K404" i="1"/>
  <c r="K408" i="3"/>
  <c r="K378" i="1"/>
  <c r="K382" i="3"/>
  <c r="K257" i="1"/>
  <c r="V257" i="1" s="1"/>
  <c r="K261" i="3"/>
  <c r="K222" i="1"/>
  <c r="V222" i="1" s="1"/>
  <c r="K226" i="3"/>
  <c r="J376" i="3"/>
  <c r="J568" i="3"/>
  <c r="I419" i="1"/>
  <c r="H423" i="3"/>
  <c r="J395" i="1"/>
  <c r="I399" i="3"/>
  <c r="J396" i="3"/>
  <c r="J393" i="3"/>
  <c r="J388" i="3"/>
  <c r="J372" i="1"/>
  <c r="I376" i="3"/>
  <c r="J256" i="3"/>
  <c r="H17" i="3"/>
  <c r="J17" i="3"/>
  <c r="I805" i="1"/>
  <c r="H809" i="3"/>
  <c r="I802" i="1"/>
  <c r="H806" i="3"/>
  <c r="J738" i="3"/>
  <c r="I731" i="1"/>
  <c r="H735" i="3"/>
  <c r="I724" i="1"/>
  <c r="H728" i="3"/>
  <c r="J725" i="3"/>
  <c r="I715" i="1"/>
  <c r="H719" i="3"/>
  <c r="I704" i="1"/>
  <c r="H708" i="3"/>
  <c r="I696" i="1"/>
  <c r="H700" i="3"/>
  <c r="K16" i="1"/>
  <c r="V16" i="1" s="1"/>
  <c r="K20" i="3"/>
  <c r="K827" i="1"/>
  <c r="K831" i="3"/>
  <c r="K810" i="3"/>
  <c r="K732" i="1"/>
  <c r="V732" i="1" s="1"/>
  <c r="K736" i="3"/>
  <c r="K705" i="1"/>
  <c r="K709" i="3"/>
  <c r="K580" i="1"/>
  <c r="K584" i="3"/>
  <c r="K570" i="1"/>
  <c r="K574" i="3"/>
  <c r="K561" i="1"/>
  <c r="K565" i="3"/>
  <c r="K523" i="1"/>
  <c r="K527" i="3"/>
  <c r="K483" i="1"/>
  <c r="K487" i="3"/>
  <c r="K475" i="1"/>
  <c r="K479" i="3"/>
  <c r="K468" i="1"/>
  <c r="V468" i="1" s="1"/>
  <c r="K472" i="3"/>
  <c r="K444" i="1"/>
  <c r="K448" i="3"/>
  <c r="K437" i="1"/>
  <c r="K441" i="3"/>
  <c r="K429" i="1"/>
  <c r="K433" i="3"/>
  <c r="K218" i="1"/>
  <c r="K222" i="3"/>
  <c r="K155" i="1"/>
  <c r="V155" i="1" s="1"/>
  <c r="K159" i="3"/>
  <c r="T149" i="1"/>
  <c r="K153" i="3"/>
  <c r="I584" i="1"/>
  <c r="H588" i="3"/>
  <c r="I574" i="1"/>
  <c r="H578" i="3"/>
  <c r="J605" i="1"/>
  <c r="I609" i="3"/>
  <c r="J588" i="3"/>
  <c r="J578" i="3"/>
  <c r="J564" i="1"/>
  <c r="I568" i="3"/>
  <c r="J419" i="1"/>
  <c r="I423" i="3"/>
  <c r="I395" i="1"/>
  <c r="H399" i="3"/>
  <c r="J392" i="1"/>
  <c r="I396" i="3"/>
  <c r="J389" i="1"/>
  <c r="I393" i="3"/>
  <c r="J384" i="1"/>
  <c r="I388" i="3"/>
  <c r="I372" i="1"/>
  <c r="H376" i="3"/>
  <c r="J252" i="1"/>
  <c r="I256" i="3"/>
  <c r="H805" i="1"/>
  <c r="G808" i="3" s="1"/>
  <c r="G809" i="3"/>
  <c r="H802" i="1"/>
  <c r="G805" i="3" s="1"/>
  <c r="G806" i="3"/>
  <c r="H731" i="1"/>
  <c r="G734" i="3" s="1"/>
  <c r="G735" i="3"/>
  <c r="H724" i="1"/>
  <c r="G727" i="3" s="1"/>
  <c r="G728" i="3"/>
  <c r="H721" i="1"/>
  <c r="G724" i="3" s="1"/>
  <c r="G725" i="3"/>
  <c r="H715" i="1"/>
  <c r="G718" i="3" s="1"/>
  <c r="G719" i="3"/>
  <c r="H704" i="1"/>
  <c r="G707" i="3" s="1"/>
  <c r="G708" i="3"/>
  <c r="H696" i="1"/>
  <c r="G699" i="3" s="1"/>
  <c r="G700" i="3"/>
  <c r="K803" i="1"/>
  <c r="K807" i="3"/>
  <c r="K662" i="1"/>
  <c r="V662" i="1" s="1"/>
  <c r="K666" i="3"/>
  <c r="K578" i="1"/>
  <c r="K582" i="3"/>
  <c r="K568" i="1"/>
  <c r="K572" i="3"/>
  <c r="K481" i="1"/>
  <c r="K485" i="3"/>
  <c r="K473" i="1"/>
  <c r="K477" i="3"/>
  <c r="K466" i="1"/>
  <c r="K470" i="3"/>
  <c r="K435" i="1"/>
  <c r="V435" i="1" s="1"/>
  <c r="K439" i="3"/>
  <c r="K427" i="1"/>
  <c r="K431" i="3"/>
  <c r="K409" i="1"/>
  <c r="K413" i="3"/>
  <c r="K393" i="1"/>
  <c r="V393" i="1" s="1"/>
  <c r="K397" i="3"/>
  <c r="K382" i="1"/>
  <c r="V382" i="1" s="1"/>
  <c r="K386" i="3"/>
  <c r="T301" i="1"/>
  <c r="K305" i="3"/>
  <c r="T271" i="1"/>
  <c r="K275" i="3"/>
  <c r="K245" i="1"/>
  <c r="V245" i="1" s="1"/>
  <c r="K249" i="3"/>
  <c r="K164" i="1"/>
  <c r="K168" i="3"/>
  <c r="J423" i="3"/>
  <c r="J399" i="3"/>
  <c r="I392" i="1"/>
  <c r="H396" i="3"/>
  <c r="I389" i="1"/>
  <c r="H393" i="3"/>
  <c r="I384" i="1"/>
  <c r="V384" i="1" s="1"/>
  <c r="H388" i="3"/>
  <c r="I252" i="1"/>
  <c r="H256" i="3"/>
  <c r="K837" i="3"/>
  <c r="J837" i="3"/>
  <c r="K832" i="3"/>
  <c r="J832" i="3"/>
  <c r="J809" i="3"/>
  <c r="J806" i="3"/>
  <c r="K797" i="3"/>
  <c r="J797" i="3"/>
  <c r="J735" i="3"/>
  <c r="J728" i="3"/>
  <c r="I721" i="1"/>
  <c r="H725" i="3"/>
  <c r="J719" i="3"/>
  <c r="K712" i="3"/>
  <c r="J712" i="3"/>
  <c r="K710" i="3"/>
  <c r="J710" i="3"/>
  <c r="J708" i="3"/>
  <c r="J700" i="3"/>
  <c r="K817" i="3"/>
  <c r="K800" i="1"/>
  <c r="K804" i="3"/>
  <c r="K744" i="1"/>
  <c r="K748" i="3"/>
  <c r="T737" i="1"/>
  <c r="K741" i="3"/>
  <c r="K722" i="1"/>
  <c r="K726" i="3"/>
  <c r="K585" i="1"/>
  <c r="V585" i="1" s="1"/>
  <c r="K589" i="3"/>
  <c r="K565" i="1"/>
  <c r="K569" i="3"/>
  <c r="K528" i="1"/>
  <c r="K532" i="3"/>
  <c r="K487" i="1"/>
  <c r="K491" i="3"/>
  <c r="K479" i="1"/>
  <c r="K483" i="3"/>
  <c r="K406" i="1"/>
  <c r="K410" i="3"/>
  <c r="K390" i="1"/>
  <c r="K394" i="3"/>
  <c r="T380" i="1"/>
  <c r="K384" i="3"/>
  <c r="T299" i="1"/>
  <c r="K303" i="3"/>
  <c r="K259" i="1"/>
  <c r="K263" i="3"/>
  <c r="K250" i="1"/>
  <c r="V250" i="1" s="1"/>
  <c r="K254" i="3"/>
  <c r="K187" i="1"/>
  <c r="K191" i="3"/>
  <c r="K170" i="1"/>
  <c r="V170" i="1" s="1"/>
  <c r="K174" i="3"/>
  <c r="K14" i="1"/>
  <c r="I734" i="1"/>
  <c r="T44" i="1"/>
  <c r="K385" i="1"/>
  <c r="T320" i="1"/>
  <c r="K247" i="1"/>
  <c r="K166" i="1"/>
  <c r="H408" i="1"/>
  <c r="G411" i="3" s="1"/>
  <c r="H403" i="1"/>
  <c r="G406" i="3" s="1"/>
  <c r="K470" i="1"/>
  <c r="H567" i="1"/>
  <c r="G570" i="3" s="1"/>
  <c r="I426" i="1"/>
  <c r="H208" i="1"/>
  <c r="G211" i="3" s="1"/>
  <c r="K739" i="1"/>
  <c r="K674" i="1"/>
  <c r="K651" i="1"/>
  <c r="H673" i="1"/>
  <c r="G676" i="3" s="1"/>
  <c r="K20" i="1"/>
  <c r="K824" i="1"/>
  <c r="V824" i="1" s="1"/>
  <c r="K606" i="1"/>
  <c r="V606" i="1" s="1"/>
  <c r="J182" i="1"/>
  <c r="T760" i="1"/>
  <c r="H577" i="1"/>
  <c r="I498" i="1"/>
  <c r="I403" i="1"/>
  <c r="K373" i="1"/>
  <c r="H377" i="1"/>
  <c r="G380" i="3" s="1"/>
  <c r="I330" i="1"/>
  <c r="I208" i="1"/>
  <c r="J621" i="1"/>
  <c r="J527" i="1"/>
  <c r="J498" i="1"/>
  <c r="J358" i="1"/>
  <c r="I182" i="1"/>
  <c r="H169" i="1"/>
  <c r="G172" i="3" s="1"/>
  <c r="J169" i="1"/>
  <c r="H734" i="1"/>
  <c r="G737" i="3" s="1"/>
  <c r="J734" i="1"/>
  <c r="J673" i="1"/>
  <c r="K557" i="1"/>
  <c r="K440" i="1"/>
  <c r="K242" i="1"/>
  <c r="T214" i="1"/>
  <c r="T151" i="1"/>
  <c r="H621" i="1"/>
  <c r="G624" i="3" s="1"/>
  <c r="K640" i="1"/>
  <c r="J567" i="1"/>
  <c r="I527" i="1"/>
  <c r="I522" i="1"/>
  <c r="H426" i="1"/>
  <c r="G429" i="3" s="1"/>
  <c r="J426" i="1"/>
  <c r="I377" i="1"/>
  <c r="I358" i="1"/>
  <c r="I256" i="1"/>
  <c r="I221" i="1"/>
  <c r="H182" i="1"/>
  <c r="G185" i="3" s="1"/>
  <c r="I13" i="1"/>
  <c r="I743" i="1"/>
  <c r="I673" i="1"/>
  <c r="K716" i="1"/>
  <c r="K629" i="1"/>
  <c r="K543" i="1"/>
  <c r="K516" i="1"/>
  <c r="V516" i="1" s="1"/>
  <c r="K446" i="1"/>
  <c r="K411" i="1"/>
  <c r="K396" i="1"/>
  <c r="T286" i="1"/>
  <c r="T282" i="1"/>
  <c r="T273" i="1"/>
  <c r="T265" i="1"/>
  <c r="K253" i="1"/>
  <c r="V253" i="1" s="1"/>
  <c r="K238" i="1"/>
  <c r="T129" i="1"/>
  <c r="H434" i="1"/>
  <c r="G437" i="3" s="1"/>
  <c r="J330" i="1"/>
  <c r="I169" i="1"/>
  <c r="H527" i="1"/>
  <c r="G530" i="3" s="1"/>
  <c r="H522" i="1"/>
  <c r="G525" i="3" s="1"/>
  <c r="H498" i="1"/>
  <c r="G501" i="3" s="1"/>
  <c r="J408" i="1"/>
  <c r="J403" i="1"/>
  <c r="J377" i="1"/>
  <c r="J256" i="1"/>
  <c r="H256" i="1"/>
  <c r="G259" i="3" s="1"/>
  <c r="J13" i="1"/>
  <c r="H13" i="1"/>
  <c r="H743" i="1"/>
  <c r="G746" i="3" s="1"/>
  <c r="J743" i="1"/>
  <c r="K785" i="1"/>
  <c r="K755" i="1"/>
  <c r="K746" i="1"/>
  <c r="V746" i="1" s="1"/>
  <c r="K725" i="1"/>
  <c r="V725" i="1" s="1"/>
  <c r="K633" i="1"/>
  <c r="I408" i="1"/>
  <c r="J208" i="1"/>
  <c r="I567" i="1"/>
  <c r="J434" i="1"/>
  <c r="I434" i="1"/>
  <c r="H358" i="1"/>
  <c r="G361" i="3" s="1"/>
  <c r="H330" i="1"/>
  <c r="G333" i="3" s="1"/>
  <c r="H241" i="1"/>
  <c r="G244" i="3" s="1"/>
  <c r="T303" i="1"/>
  <c r="I621" i="1"/>
  <c r="K697" i="1"/>
  <c r="V697" i="1" s="1"/>
  <c r="T622" i="1"/>
  <c r="K535" i="1"/>
  <c r="K530" i="1"/>
  <c r="V530" i="1" s="1"/>
  <c r="K489" i="1"/>
  <c r="V489" i="1" s="1"/>
  <c r="K461" i="1"/>
  <c r="V461" i="1" s="1"/>
  <c r="K420" i="1"/>
  <c r="K261" i="1"/>
  <c r="V261" i="1" s="1"/>
  <c r="T189" i="1"/>
  <c r="K183" i="1"/>
  <c r="K177" i="1"/>
  <c r="K172" i="1"/>
  <c r="T139" i="1"/>
  <c r="J241" i="1"/>
  <c r="K677" i="1"/>
  <c r="V677" i="1" s="1"/>
  <c r="K670" i="1"/>
  <c r="K659" i="1"/>
  <c r="K654" i="1"/>
  <c r="K553" i="1"/>
  <c r="T548" i="1"/>
  <c r="K501" i="1"/>
  <c r="K493" i="1"/>
  <c r="K323" i="1"/>
  <c r="V323" i="1" s="1"/>
  <c r="T224" i="1"/>
  <c r="T108" i="1"/>
  <c r="T97" i="1"/>
  <c r="I241" i="1"/>
  <c r="H221" i="1"/>
  <c r="G224" i="3" s="1"/>
  <c r="J221" i="1"/>
  <c r="T664" i="1"/>
  <c r="K509" i="1"/>
  <c r="V509" i="1" s="1"/>
  <c r="T209" i="1"/>
  <c r="K157" i="1"/>
  <c r="I577" i="1"/>
  <c r="J577" i="1"/>
  <c r="T444" i="1" l="1"/>
  <c r="U444" i="1"/>
  <c r="S444" i="1"/>
  <c r="K384" i="1"/>
  <c r="U385" i="1"/>
  <c r="S385" i="1"/>
  <c r="T582" i="1"/>
  <c r="U582" i="1"/>
  <c r="S582" i="1"/>
  <c r="V444" i="1"/>
  <c r="T172" i="1"/>
  <c r="U172" i="1"/>
  <c r="S172" i="1"/>
  <c r="U218" i="1"/>
  <c r="S218" i="1"/>
  <c r="T553" i="1"/>
  <c r="U553" i="1"/>
  <c r="S553" i="1"/>
  <c r="T755" i="1"/>
  <c r="U755" i="1"/>
  <c r="S755" i="1"/>
  <c r="U396" i="1"/>
  <c r="K395" i="1"/>
  <c r="S396" i="1"/>
  <c r="U242" i="1"/>
  <c r="S242" i="1"/>
  <c r="K372" i="1"/>
  <c r="T372" i="1" s="1"/>
  <c r="U373" i="1"/>
  <c r="S373" i="1"/>
  <c r="T20" i="1"/>
  <c r="U20" i="1"/>
  <c r="S20" i="1"/>
  <c r="T470" i="1"/>
  <c r="U470" i="1"/>
  <c r="S470" i="1"/>
  <c r="U378" i="1"/>
  <c r="S378" i="1"/>
  <c r="T485" i="1"/>
  <c r="U485" i="1"/>
  <c r="S485" i="1"/>
  <c r="T792" i="1"/>
  <c r="U792" i="1"/>
  <c r="S792" i="1"/>
  <c r="V553" i="1"/>
  <c r="V172" i="1"/>
  <c r="V470" i="1"/>
  <c r="T493" i="1"/>
  <c r="U493" i="1"/>
  <c r="S493" i="1"/>
  <c r="T461" i="1"/>
  <c r="U461" i="1"/>
  <c r="S461" i="1"/>
  <c r="T633" i="1"/>
  <c r="U633" i="1"/>
  <c r="S633" i="1"/>
  <c r="U629" i="1"/>
  <c r="S629" i="1"/>
  <c r="U722" i="1"/>
  <c r="K721" i="1"/>
  <c r="S722" i="1"/>
  <c r="K392" i="1"/>
  <c r="U393" i="1"/>
  <c r="S393" i="1"/>
  <c r="T578" i="1"/>
  <c r="U578" i="1"/>
  <c r="K577" i="1"/>
  <c r="S578" i="1"/>
  <c r="U705" i="1"/>
  <c r="K704" i="1"/>
  <c r="S705" i="1"/>
  <c r="T250" i="1"/>
  <c r="U250" i="1"/>
  <c r="S250" i="1"/>
  <c r="T468" i="1"/>
  <c r="U468" i="1"/>
  <c r="S468" i="1"/>
  <c r="V815" i="1"/>
  <c r="V633" i="1"/>
  <c r="T177" i="1"/>
  <c r="U177" i="1"/>
  <c r="S177" i="1"/>
  <c r="T535" i="1"/>
  <c r="U535" i="1"/>
  <c r="S535" i="1"/>
  <c r="V577" i="1"/>
  <c r="T654" i="1"/>
  <c r="U654" i="1"/>
  <c r="S654" i="1"/>
  <c r="U183" i="1"/>
  <c r="S183" i="1"/>
  <c r="T785" i="1"/>
  <c r="U785" i="1"/>
  <c r="S785" i="1"/>
  <c r="K408" i="1"/>
  <c r="U411" i="1"/>
  <c r="S411" i="1"/>
  <c r="T440" i="1"/>
  <c r="U440" i="1"/>
  <c r="S440" i="1"/>
  <c r="U14" i="1"/>
  <c r="S14" i="1"/>
  <c r="T259" i="1"/>
  <c r="U259" i="1"/>
  <c r="S259" i="1"/>
  <c r="T406" i="1"/>
  <c r="U406" i="1"/>
  <c r="S406" i="1"/>
  <c r="T565" i="1"/>
  <c r="U565" i="1"/>
  <c r="S565" i="1"/>
  <c r="T744" i="1"/>
  <c r="U744" i="1"/>
  <c r="S744" i="1"/>
  <c r="V252" i="1"/>
  <c r="T427" i="1"/>
  <c r="U427" i="1"/>
  <c r="S427" i="1"/>
  <c r="T481" i="1"/>
  <c r="U481" i="1"/>
  <c r="S481" i="1"/>
  <c r="K802" i="1"/>
  <c r="V802" i="1" s="1"/>
  <c r="U803" i="1"/>
  <c r="S803" i="1"/>
  <c r="U429" i="1"/>
  <c r="S429" i="1"/>
  <c r="T475" i="1"/>
  <c r="U475" i="1"/>
  <c r="S475" i="1"/>
  <c r="T570" i="1"/>
  <c r="U570" i="1"/>
  <c r="S570" i="1"/>
  <c r="T521" i="1"/>
  <c r="S521" i="1"/>
  <c r="V411" i="1"/>
  <c r="V485" i="1"/>
  <c r="V722" i="1"/>
  <c r="V629" i="1"/>
  <c r="V481" i="1"/>
  <c r="V242" i="1"/>
  <c r="V654" i="1"/>
  <c r="T187" i="1"/>
  <c r="U187" i="1"/>
  <c r="S187" i="1"/>
  <c r="T466" i="1"/>
  <c r="U466" i="1"/>
  <c r="S466" i="1"/>
  <c r="U523" i="1"/>
  <c r="S523" i="1"/>
  <c r="T501" i="1"/>
  <c r="U501" i="1"/>
  <c r="S501" i="1"/>
  <c r="K724" i="1"/>
  <c r="V724" i="1" s="1"/>
  <c r="U725" i="1"/>
  <c r="S725" i="1"/>
  <c r="K605" i="1"/>
  <c r="S606" i="1"/>
  <c r="U606" i="1"/>
  <c r="T477" i="1"/>
  <c r="U477" i="1"/>
  <c r="S477" i="1"/>
  <c r="V705" i="1"/>
  <c r="K389" i="1"/>
  <c r="V389" i="1" s="1"/>
  <c r="U390" i="1"/>
  <c r="S390" i="1"/>
  <c r="T409" i="1"/>
  <c r="U409" i="1"/>
  <c r="S409" i="1"/>
  <c r="T561" i="1"/>
  <c r="U561" i="1"/>
  <c r="S561" i="1"/>
  <c r="U806" i="1"/>
  <c r="S806" i="1"/>
  <c r="V218" i="1"/>
  <c r="V561" i="1"/>
  <c r="T157" i="1"/>
  <c r="U157" i="1"/>
  <c r="S157" i="1"/>
  <c r="T659" i="1"/>
  <c r="U659" i="1"/>
  <c r="S659" i="1"/>
  <c r="K696" i="1"/>
  <c r="T696" i="1" s="1"/>
  <c r="U697" i="1"/>
  <c r="S697" i="1"/>
  <c r="T238" i="1"/>
  <c r="U238" i="1"/>
  <c r="S238" i="1"/>
  <c r="T446" i="1"/>
  <c r="U446" i="1"/>
  <c r="S446" i="1"/>
  <c r="T557" i="1"/>
  <c r="U557" i="1"/>
  <c r="S557" i="1"/>
  <c r="T651" i="1"/>
  <c r="U651" i="1"/>
  <c r="S651" i="1"/>
  <c r="T827" i="1"/>
  <c r="U827" i="1"/>
  <c r="S827" i="1"/>
  <c r="V715" i="1"/>
  <c r="T404" i="1"/>
  <c r="U404" i="1"/>
  <c r="K403" i="1"/>
  <c r="S404" i="1"/>
  <c r="U499" i="1"/>
  <c r="S499" i="1"/>
  <c r="T18" i="1"/>
  <c r="U18" i="1"/>
  <c r="S18" i="1"/>
  <c r="V605" i="1"/>
  <c r="V501" i="1"/>
  <c r="V259" i="1"/>
  <c r="V755" i="1"/>
  <c r="V429" i="1"/>
  <c r="V744" i="1"/>
  <c r="T487" i="1"/>
  <c r="U487" i="1"/>
  <c r="S487" i="1"/>
  <c r="T245" i="1"/>
  <c r="U245" i="1"/>
  <c r="S245" i="1"/>
  <c r="V395" i="1"/>
  <c r="V493" i="1"/>
  <c r="T489" i="1"/>
  <c r="U489" i="1"/>
  <c r="S489" i="1"/>
  <c r="K715" i="1"/>
  <c r="U716" i="1"/>
  <c r="S716" i="1"/>
  <c r="U530" i="1"/>
  <c r="S530" i="1"/>
  <c r="U746" i="1"/>
  <c r="S746" i="1"/>
  <c r="U824" i="1"/>
  <c r="S824" i="1"/>
  <c r="T528" i="1"/>
  <c r="U528" i="1"/>
  <c r="S528" i="1"/>
  <c r="V392" i="1"/>
  <c r="T473" i="1"/>
  <c r="U473" i="1"/>
  <c r="S473" i="1"/>
  <c r="U732" i="1"/>
  <c r="S732" i="1"/>
  <c r="T670" i="1"/>
  <c r="U670" i="1"/>
  <c r="S670" i="1"/>
  <c r="T261" i="1"/>
  <c r="U261" i="1"/>
  <c r="S261" i="1"/>
  <c r="K252" i="1"/>
  <c r="U253" i="1"/>
  <c r="S253" i="1"/>
  <c r="T516" i="1"/>
  <c r="U516" i="1"/>
  <c r="S516" i="1"/>
  <c r="T674" i="1"/>
  <c r="U674" i="1"/>
  <c r="S674" i="1"/>
  <c r="T166" i="1"/>
  <c r="U166" i="1"/>
  <c r="S166" i="1"/>
  <c r="U170" i="1"/>
  <c r="S170" i="1"/>
  <c r="T479" i="1"/>
  <c r="U479" i="1"/>
  <c r="S479" i="1"/>
  <c r="U585" i="1"/>
  <c r="S585" i="1"/>
  <c r="K799" i="1"/>
  <c r="V799" i="1" s="1"/>
  <c r="U800" i="1"/>
  <c r="S800" i="1"/>
  <c r="T164" i="1"/>
  <c r="U164" i="1"/>
  <c r="S164" i="1"/>
  <c r="T382" i="1"/>
  <c r="U382" i="1"/>
  <c r="S382" i="1"/>
  <c r="T435" i="1"/>
  <c r="U435" i="1"/>
  <c r="S435" i="1"/>
  <c r="U568" i="1"/>
  <c r="S568" i="1"/>
  <c r="U437" i="1"/>
  <c r="S437" i="1"/>
  <c r="T483" i="1"/>
  <c r="U483" i="1"/>
  <c r="S483" i="1"/>
  <c r="T580" i="1"/>
  <c r="U580" i="1"/>
  <c r="S580" i="1"/>
  <c r="V785" i="1"/>
  <c r="V523" i="1"/>
  <c r="V473" i="1"/>
  <c r="V466" i="1"/>
  <c r="V487" i="1"/>
  <c r="T155" i="1"/>
  <c r="U155" i="1"/>
  <c r="S155" i="1"/>
  <c r="V578" i="1"/>
  <c r="U257" i="1"/>
  <c r="S257" i="1"/>
  <c r="T662" i="1"/>
  <c r="U662" i="1"/>
  <c r="S662" i="1"/>
  <c r="V574" i="1"/>
  <c r="U574" i="1"/>
  <c r="T509" i="1"/>
  <c r="U509" i="1"/>
  <c r="S509" i="1"/>
  <c r="T323" i="1"/>
  <c r="U323" i="1"/>
  <c r="S323" i="1"/>
  <c r="U677" i="1"/>
  <c r="S677" i="1"/>
  <c r="K419" i="1"/>
  <c r="V419" i="1" s="1"/>
  <c r="U420" i="1"/>
  <c r="S420" i="1"/>
  <c r="V408" i="1"/>
  <c r="T543" i="1"/>
  <c r="U543" i="1"/>
  <c r="S543" i="1"/>
  <c r="T640" i="1"/>
  <c r="U640" i="1"/>
  <c r="S640" i="1"/>
  <c r="U739" i="1"/>
  <c r="S739" i="1"/>
  <c r="T247" i="1"/>
  <c r="U247" i="1"/>
  <c r="S247" i="1"/>
  <c r="T16" i="1"/>
  <c r="U16" i="1"/>
  <c r="S16" i="1"/>
  <c r="U222" i="1"/>
  <c r="S222" i="1"/>
  <c r="T431" i="1"/>
  <c r="U431" i="1"/>
  <c r="S431" i="1"/>
  <c r="T525" i="1"/>
  <c r="U525" i="1"/>
  <c r="S525" i="1"/>
  <c r="U564" i="1"/>
  <c r="V564" i="1"/>
  <c r="V800" i="1"/>
  <c r="V406" i="1"/>
  <c r="V157" i="1"/>
  <c r="V543" i="1"/>
  <c r="V499" i="1"/>
  <c r="V528" i="1"/>
  <c r="V475" i="1"/>
  <c r="V827" i="1"/>
  <c r="V164" i="1"/>
  <c r="V716" i="1"/>
  <c r="V378" i="1"/>
  <c r="T824" i="1"/>
  <c r="K815" i="1"/>
  <c r="T746" i="1"/>
  <c r="K743" i="1"/>
  <c r="V743" i="1" s="1"/>
  <c r="T677" i="1"/>
  <c r="K673" i="1"/>
  <c r="V673" i="1" s="1"/>
  <c r="T629" i="1"/>
  <c r="K621" i="1"/>
  <c r="T568" i="1"/>
  <c r="K567" i="1"/>
  <c r="T530" i="1"/>
  <c r="K527" i="1"/>
  <c r="T527" i="1" s="1"/>
  <c r="T523" i="1"/>
  <c r="K522" i="1"/>
  <c r="T499" i="1"/>
  <c r="K498" i="1"/>
  <c r="V498" i="1" s="1"/>
  <c r="T437" i="1"/>
  <c r="K434" i="1"/>
  <c r="V434" i="1" s="1"/>
  <c r="T429" i="1"/>
  <c r="K426" i="1"/>
  <c r="T183" i="1"/>
  <c r="K182" i="1"/>
  <c r="V182" i="1" s="1"/>
  <c r="T170" i="1"/>
  <c r="K169" i="1"/>
  <c r="T218" i="1"/>
  <c r="K208" i="1"/>
  <c r="T242" i="1"/>
  <c r="K241" i="1"/>
  <c r="T739" i="1"/>
  <c r="K734" i="1"/>
  <c r="T222" i="1"/>
  <c r="K221" i="1"/>
  <c r="T378" i="1"/>
  <c r="K377" i="1"/>
  <c r="K13" i="1"/>
  <c r="V13" i="1" s="1"/>
  <c r="T257" i="1"/>
  <c r="K256" i="1"/>
  <c r="T585" i="1"/>
  <c r="T732" i="1"/>
  <c r="K809" i="3"/>
  <c r="T806" i="1"/>
  <c r="T816" i="1"/>
  <c r="T705" i="1"/>
  <c r="T800" i="1"/>
  <c r="T14" i="1"/>
  <c r="T722" i="1"/>
  <c r="T803" i="1"/>
  <c r="T697" i="1"/>
  <c r="T725" i="1"/>
  <c r="T716" i="1"/>
  <c r="T606" i="1"/>
  <c r="T420" i="1"/>
  <c r="T411" i="1"/>
  <c r="T396" i="1"/>
  <c r="T393" i="1"/>
  <c r="T390" i="1"/>
  <c r="T385" i="1"/>
  <c r="T373" i="1"/>
  <c r="T253" i="1"/>
  <c r="H259" i="3"/>
  <c r="R256" i="1"/>
  <c r="Q256" i="1"/>
  <c r="J172" i="3"/>
  <c r="K304" i="3"/>
  <c r="H727" i="3"/>
  <c r="R724" i="1"/>
  <c r="Q724" i="1"/>
  <c r="K212" i="3"/>
  <c r="K492" i="3"/>
  <c r="K443" i="3"/>
  <c r="K262" i="3"/>
  <c r="K533" i="3"/>
  <c r="H530" i="3"/>
  <c r="R527" i="1"/>
  <c r="Q527" i="1"/>
  <c r="K484" i="3"/>
  <c r="K221" i="3"/>
  <c r="J387" i="3"/>
  <c r="I734" i="3"/>
  <c r="P731" i="1"/>
  <c r="O731" i="1"/>
  <c r="K667" i="3"/>
  <c r="K227" i="3"/>
  <c r="K662" i="3"/>
  <c r="K180" i="3"/>
  <c r="K538" i="3"/>
  <c r="I211" i="3"/>
  <c r="P208" i="1"/>
  <c r="O208" i="1"/>
  <c r="I411" i="3"/>
  <c r="P408" i="1"/>
  <c r="O408" i="1"/>
  <c r="K241" i="3"/>
  <c r="K449" i="3"/>
  <c r="H380" i="3"/>
  <c r="R377" i="1"/>
  <c r="Q377" i="1"/>
  <c r="I570" i="3"/>
  <c r="P567" i="1"/>
  <c r="O567" i="1"/>
  <c r="I676" i="3"/>
  <c r="P673" i="1"/>
  <c r="O673" i="1"/>
  <c r="I501" i="3"/>
  <c r="P498" i="1"/>
  <c r="O498" i="1"/>
  <c r="J676" i="3"/>
  <c r="K23" i="3"/>
  <c r="J411" i="3"/>
  <c r="K250" i="3"/>
  <c r="K173" i="3"/>
  <c r="K302" i="3"/>
  <c r="K482" i="3"/>
  <c r="L436" i="3"/>
  <c r="O433" i="1"/>
  <c r="Q433" i="1"/>
  <c r="J802" i="3"/>
  <c r="L566" i="3"/>
  <c r="J746" i="3"/>
  <c r="H185" i="3"/>
  <c r="R182" i="1"/>
  <c r="Q182" i="1"/>
  <c r="K568" i="3"/>
  <c r="L428" i="3"/>
  <c r="Q425" i="1"/>
  <c r="O425" i="1"/>
  <c r="H802" i="3"/>
  <c r="R799" i="1"/>
  <c r="Q799" i="1"/>
  <c r="K657" i="3"/>
  <c r="I406" i="3"/>
  <c r="P403" i="1"/>
  <c r="O403" i="1"/>
  <c r="H361" i="3"/>
  <c r="R358" i="1"/>
  <c r="Q358" i="1"/>
  <c r="K827" i="3"/>
  <c r="J727" i="3"/>
  <c r="K430" i="3"/>
  <c r="I567" i="3"/>
  <c r="P564" i="1"/>
  <c r="H699" i="3"/>
  <c r="R696" i="1"/>
  <c r="Q696" i="1"/>
  <c r="K326" i="3"/>
  <c r="K673" i="3"/>
  <c r="K186" i="3"/>
  <c r="K625" i="3"/>
  <c r="H411" i="3"/>
  <c r="R408" i="1"/>
  <c r="Q408" i="1"/>
  <c r="K519" i="3"/>
  <c r="R13" i="1"/>
  <c r="Q13" i="1"/>
  <c r="J406" i="3"/>
  <c r="K643" i="3"/>
  <c r="I737" i="3"/>
  <c r="P734" i="1"/>
  <c r="O734" i="1"/>
  <c r="I530" i="3"/>
  <c r="P527" i="1"/>
  <c r="O527" i="1"/>
  <c r="H406" i="3"/>
  <c r="R403" i="1"/>
  <c r="Q403" i="1"/>
  <c r="H429" i="3"/>
  <c r="R426" i="1"/>
  <c r="Q426" i="1"/>
  <c r="K323" i="3"/>
  <c r="H392" i="3"/>
  <c r="R389" i="1"/>
  <c r="Q389" i="1"/>
  <c r="K167" i="3"/>
  <c r="K385" i="3"/>
  <c r="K438" i="3"/>
  <c r="K571" i="3"/>
  <c r="I255" i="3"/>
  <c r="P252" i="1"/>
  <c r="O252" i="1"/>
  <c r="I395" i="3"/>
  <c r="P392" i="1"/>
  <c r="O392" i="1"/>
  <c r="H587" i="3"/>
  <c r="R584" i="1"/>
  <c r="Q584" i="1"/>
  <c r="K432" i="3"/>
  <c r="K478" i="3"/>
  <c r="K573" i="3"/>
  <c r="H707" i="3"/>
  <c r="R704" i="1"/>
  <c r="Q704" i="1"/>
  <c r="H734" i="3"/>
  <c r="R731" i="1"/>
  <c r="Q731" i="1"/>
  <c r="J392" i="3"/>
  <c r="K381" i="3"/>
  <c r="K488" i="3"/>
  <c r="K795" i="3"/>
  <c r="I718" i="3"/>
  <c r="P715" i="1"/>
  <c r="O715" i="1"/>
  <c r="I805" i="3"/>
  <c r="P802" i="1"/>
  <c r="O802" i="1"/>
  <c r="K142" i="3"/>
  <c r="K788" i="3"/>
  <c r="J530" i="3"/>
  <c r="K742" i="3"/>
  <c r="K409" i="3"/>
  <c r="O519" i="1"/>
  <c r="Q519" i="1"/>
  <c r="K175" i="3"/>
  <c r="I361" i="3"/>
  <c r="P358" i="1"/>
  <c r="O358" i="1"/>
  <c r="J422" i="3"/>
  <c r="I392" i="3"/>
  <c r="P389" i="1"/>
  <c r="O389" i="1"/>
  <c r="H577" i="3"/>
  <c r="R574" i="1"/>
  <c r="K564" i="3"/>
  <c r="H808" i="3"/>
  <c r="R805" i="1"/>
  <c r="Q805" i="1"/>
  <c r="K260" i="3"/>
  <c r="K585" i="3"/>
  <c r="I707" i="3"/>
  <c r="P704" i="1"/>
  <c r="O704" i="1"/>
  <c r="P577" i="1"/>
  <c r="O577" i="1"/>
  <c r="K680" i="3"/>
  <c r="J437" i="3"/>
  <c r="K636" i="3"/>
  <c r="P13" i="1"/>
  <c r="O13" i="1"/>
  <c r="K268" i="3"/>
  <c r="K546" i="3"/>
  <c r="I429" i="3"/>
  <c r="P426" i="1"/>
  <c r="O426" i="1"/>
  <c r="K28" i="3"/>
  <c r="H501" i="3"/>
  <c r="R498" i="1"/>
  <c r="Q498" i="1"/>
  <c r="I525" i="3"/>
  <c r="P522" i="1"/>
  <c r="O522" i="1"/>
  <c r="J525" i="3"/>
  <c r="K190" i="3"/>
  <c r="K383" i="3"/>
  <c r="K490" i="3"/>
  <c r="Q181" i="1"/>
  <c r="O181" i="1"/>
  <c r="L379" i="3"/>
  <c r="O376" i="1"/>
  <c r="Q376" i="1"/>
  <c r="R815" i="1"/>
  <c r="Q815" i="1"/>
  <c r="I802" i="3"/>
  <c r="P799" i="1"/>
  <c r="O799" i="1"/>
  <c r="H570" i="3"/>
  <c r="R567" i="1"/>
  <c r="Q567" i="1"/>
  <c r="Q620" i="1"/>
  <c r="O620" i="1"/>
  <c r="I224" i="3"/>
  <c r="P221" i="1"/>
  <c r="O221" i="1"/>
  <c r="K496" i="3"/>
  <c r="K192" i="3"/>
  <c r="K504" i="3"/>
  <c r="I244" i="3"/>
  <c r="P241" i="1"/>
  <c r="O241" i="1"/>
  <c r="K264" i="3"/>
  <c r="J624" i="3"/>
  <c r="H437" i="3"/>
  <c r="R434" i="1"/>
  <c r="Q434" i="1"/>
  <c r="J211" i="3"/>
  <c r="K276" i="3"/>
  <c r="K632" i="3"/>
  <c r="J224" i="3"/>
  <c r="K154" i="3"/>
  <c r="I172" i="3"/>
  <c r="P169" i="1"/>
  <c r="O169" i="1"/>
  <c r="I624" i="3"/>
  <c r="P621" i="1"/>
  <c r="O621" i="1"/>
  <c r="J570" i="3"/>
  <c r="K47" i="3"/>
  <c r="J699" i="3"/>
  <c r="J718" i="3"/>
  <c r="H395" i="3"/>
  <c r="R392" i="1"/>
  <c r="Q392" i="1"/>
  <c r="K248" i="3"/>
  <c r="K469" i="3"/>
  <c r="K581" i="3"/>
  <c r="H375" i="3"/>
  <c r="R372" i="1"/>
  <c r="Q372" i="1"/>
  <c r="H398" i="3"/>
  <c r="R395" i="1"/>
  <c r="Q395" i="1"/>
  <c r="K152" i="3"/>
  <c r="K440" i="3"/>
  <c r="K486" i="3"/>
  <c r="K583" i="3"/>
  <c r="K830" i="3"/>
  <c r="H718" i="3"/>
  <c r="R715" i="1"/>
  <c r="Q715" i="1"/>
  <c r="K738" i="3"/>
  <c r="J255" i="3"/>
  <c r="J395" i="3"/>
  <c r="J375" i="3"/>
  <c r="K407" i="3"/>
  <c r="K502" i="3"/>
  <c r="K21" i="3"/>
  <c r="I724" i="3"/>
  <c r="P721" i="1"/>
  <c r="O721" i="1"/>
  <c r="I808" i="3"/>
  <c r="P805" i="1"/>
  <c r="O805" i="1"/>
  <c r="R605" i="1"/>
  <c r="Q605" i="1"/>
  <c r="I577" i="3"/>
  <c r="P574" i="1"/>
  <c r="L523" i="3"/>
  <c r="Q520" i="1"/>
  <c r="O520" i="1"/>
  <c r="K512" i="3"/>
  <c r="P743" i="1"/>
  <c r="O743" i="1"/>
  <c r="K480" i="3"/>
  <c r="R577" i="1"/>
  <c r="Q577" i="1"/>
  <c r="H244" i="3"/>
  <c r="R241" i="1"/>
  <c r="Q241" i="1"/>
  <c r="K551" i="3"/>
  <c r="J361" i="3"/>
  <c r="H624" i="3"/>
  <c r="R621" i="1"/>
  <c r="Q621" i="1"/>
  <c r="J429" i="3"/>
  <c r="K749" i="3"/>
  <c r="H172" i="3"/>
  <c r="R169" i="1"/>
  <c r="Q169" i="1"/>
  <c r="K285" i="3"/>
  <c r="H224" i="3"/>
  <c r="R221" i="1"/>
  <c r="Q221" i="1"/>
  <c r="J501" i="3"/>
  <c r="K217" i="3"/>
  <c r="H211" i="3"/>
  <c r="R208" i="1"/>
  <c r="Q208" i="1"/>
  <c r="K763" i="3"/>
  <c r="K654" i="3"/>
  <c r="K473" i="3"/>
  <c r="J737" i="3"/>
  <c r="K253" i="3"/>
  <c r="K531" i="3"/>
  <c r="K740" i="3"/>
  <c r="Q418" i="1"/>
  <c r="O418" i="1"/>
  <c r="L427" i="3"/>
  <c r="Q424" i="1"/>
  <c r="O424" i="1"/>
  <c r="Q573" i="1"/>
  <c r="O573" i="1"/>
  <c r="L524" i="3"/>
  <c r="Q521" i="1"/>
  <c r="O521" i="1"/>
  <c r="P815" i="1"/>
  <c r="O815" i="1"/>
  <c r="K805" i="1"/>
  <c r="V805" i="1" s="1"/>
  <c r="K100" i="3"/>
  <c r="I380" i="3"/>
  <c r="P377" i="1"/>
  <c r="O377" i="1"/>
  <c r="K747" i="3"/>
  <c r="K111" i="3"/>
  <c r="J380" i="3"/>
  <c r="K132" i="3"/>
  <c r="H746" i="3"/>
  <c r="R743" i="1"/>
  <c r="Q743" i="1"/>
  <c r="K560" i="3"/>
  <c r="K169" i="3"/>
  <c r="H387" i="3"/>
  <c r="R384" i="1"/>
  <c r="Q384" i="1"/>
  <c r="K471" i="3"/>
  <c r="H422" i="3"/>
  <c r="R419" i="1"/>
  <c r="Q419" i="1"/>
  <c r="K160" i="3"/>
  <c r="J244" i="3"/>
  <c r="K556" i="3"/>
  <c r="K50" i="3"/>
  <c r="K464" i="3"/>
  <c r="K306" i="3"/>
  <c r="I437" i="3"/>
  <c r="P434" i="1"/>
  <c r="O434" i="1"/>
  <c r="K758" i="3"/>
  <c r="I259" i="3"/>
  <c r="P256" i="1"/>
  <c r="O256" i="1"/>
  <c r="I333" i="3"/>
  <c r="P330" i="1"/>
  <c r="O330" i="1"/>
  <c r="K289" i="3"/>
  <c r="H676" i="3"/>
  <c r="R673" i="1"/>
  <c r="Q673" i="1"/>
  <c r="J259" i="3"/>
  <c r="H525" i="3"/>
  <c r="R522" i="1"/>
  <c r="Q522" i="1"/>
  <c r="K245" i="3"/>
  <c r="J185" i="3"/>
  <c r="H333" i="3"/>
  <c r="R330" i="1"/>
  <c r="Q330" i="1"/>
  <c r="I185" i="3"/>
  <c r="P182" i="1"/>
  <c r="O182" i="1"/>
  <c r="K677" i="3"/>
  <c r="H737" i="3"/>
  <c r="R734" i="1"/>
  <c r="Q734" i="1"/>
  <c r="J707" i="3"/>
  <c r="H724" i="3"/>
  <c r="R721" i="1"/>
  <c r="Q721" i="1"/>
  <c r="J805" i="3"/>
  <c r="H255" i="3"/>
  <c r="R252" i="1"/>
  <c r="Q252" i="1"/>
  <c r="J398" i="3"/>
  <c r="K274" i="3"/>
  <c r="K412" i="3"/>
  <c r="K476" i="3"/>
  <c r="K665" i="3"/>
  <c r="I387" i="3"/>
  <c r="P384" i="1"/>
  <c r="O384" i="1"/>
  <c r="I422" i="3"/>
  <c r="P419" i="1"/>
  <c r="O419" i="1"/>
  <c r="P605" i="1"/>
  <c r="O605" i="1"/>
  <c r="K158" i="3"/>
  <c r="K447" i="3"/>
  <c r="K526" i="3"/>
  <c r="K19" i="3"/>
  <c r="H805" i="3"/>
  <c r="R802" i="1"/>
  <c r="Q802" i="1"/>
  <c r="I375" i="3"/>
  <c r="P372" i="1"/>
  <c r="O372" i="1"/>
  <c r="I398" i="3"/>
  <c r="P395" i="1"/>
  <c r="O395" i="1"/>
  <c r="K225" i="3"/>
  <c r="K434" i="3"/>
  <c r="K528" i="3"/>
  <c r="I699" i="3"/>
  <c r="P696" i="1"/>
  <c r="O696" i="1"/>
  <c r="I727" i="3"/>
  <c r="P724" i="1"/>
  <c r="O724" i="1"/>
  <c r="H567" i="3"/>
  <c r="I587" i="3"/>
  <c r="P584" i="1"/>
  <c r="O584" i="1"/>
  <c r="L619" i="1"/>
  <c r="L623" i="3"/>
  <c r="H818" i="3"/>
  <c r="I813" i="1"/>
  <c r="L522" i="3"/>
  <c r="K588" i="3"/>
  <c r="K584" i="1"/>
  <c r="K578" i="3"/>
  <c r="L575" i="1"/>
  <c r="S575" i="1" s="1"/>
  <c r="L576" i="3"/>
  <c r="J818" i="3"/>
  <c r="I818" i="3"/>
  <c r="J813" i="1"/>
  <c r="G818" i="3"/>
  <c r="H813" i="1"/>
  <c r="G816" i="3" s="1"/>
  <c r="K819" i="3"/>
  <c r="K803" i="3"/>
  <c r="K735" i="3"/>
  <c r="K731" i="1"/>
  <c r="K725" i="3"/>
  <c r="T721" i="1"/>
  <c r="L421" i="3"/>
  <c r="L402" i="1"/>
  <c r="L12" i="1"/>
  <c r="L184" i="3"/>
  <c r="T567" i="1"/>
  <c r="J388" i="1"/>
  <c r="J797" i="1"/>
  <c r="H388" i="1"/>
  <c r="G391" i="3" s="1"/>
  <c r="H797" i="1"/>
  <c r="G800" i="3" s="1"/>
  <c r="T577" i="1"/>
  <c r="J572" i="1"/>
  <c r="I580" i="3"/>
  <c r="G16" i="3"/>
  <c r="T715" i="1"/>
  <c r="K719" i="3"/>
  <c r="K609" i="3"/>
  <c r="J580" i="3"/>
  <c r="K700" i="3"/>
  <c r="I388" i="1"/>
  <c r="I16" i="3"/>
  <c r="T252" i="1"/>
  <c r="K256" i="3"/>
  <c r="J16" i="3"/>
  <c r="I797" i="1"/>
  <c r="K376" i="3"/>
  <c r="H572" i="1"/>
  <c r="G575" i="3" s="1"/>
  <c r="G580" i="3"/>
  <c r="T384" i="1"/>
  <c r="K388" i="3"/>
  <c r="T389" i="1"/>
  <c r="K393" i="3"/>
  <c r="J808" i="3"/>
  <c r="T392" i="1"/>
  <c r="K396" i="3"/>
  <c r="K806" i="3"/>
  <c r="J587" i="3"/>
  <c r="J567" i="3"/>
  <c r="H604" i="1"/>
  <c r="G607" i="3" s="1"/>
  <c r="G608" i="3"/>
  <c r="I604" i="1"/>
  <c r="H608" i="3"/>
  <c r="H16" i="3"/>
  <c r="I572" i="1"/>
  <c r="H580" i="3"/>
  <c r="K728" i="3"/>
  <c r="J714" i="1"/>
  <c r="I746" i="3"/>
  <c r="K399" i="3"/>
  <c r="T419" i="1"/>
  <c r="K423" i="3"/>
  <c r="T408" i="1"/>
  <c r="K414" i="3"/>
  <c r="K17" i="3"/>
  <c r="J734" i="3"/>
  <c r="J577" i="3"/>
  <c r="J604" i="1"/>
  <c r="I608" i="3"/>
  <c r="T704" i="1"/>
  <c r="K708" i="3"/>
  <c r="J724" i="3"/>
  <c r="J608" i="3"/>
  <c r="I714" i="1"/>
  <c r="H619" i="1"/>
  <c r="G622" i="3" s="1"/>
  <c r="H714" i="1"/>
  <c r="G717" i="3" s="1"/>
  <c r="T241" i="1"/>
  <c r="H402" i="1"/>
  <c r="G405" i="3" s="1"/>
  <c r="H497" i="1"/>
  <c r="G500" i="3" s="1"/>
  <c r="J329" i="1"/>
  <c r="T3" i="1" s="1"/>
  <c r="H12" i="1"/>
  <c r="I619" i="1"/>
  <c r="I402" i="1"/>
  <c r="J497" i="1"/>
  <c r="J220" i="1"/>
  <c r="J12" i="1"/>
  <c r="I12" i="1"/>
  <c r="I220" i="1"/>
  <c r="I329" i="1"/>
  <c r="I497" i="1"/>
  <c r="J619" i="1"/>
  <c r="J402" i="1"/>
  <c r="T498" i="1"/>
  <c r="T221" i="1"/>
  <c r="H220" i="1"/>
  <c r="G223" i="3" s="1"/>
  <c r="H329" i="1"/>
  <c r="G332" i="3" s="1"/>
  <c r="T621" i="1"/>
  <c r="T522" i="1" l="1"/>
  <c r="U522" i="1"/>
  <c r="S522" i="1"/>
  <c r="U403" i="1"/>
  <c r="S403" i="1"/>
  <c r="U426" i="1"/>
  <c r="S426" i="1"/>
  <c r="U704" i="1"/>
  <c r="S704" i="1"/>
  <c r="U392" i="1"/>
  <c r="S392" i="1"/>
  <c r="T426" i="1"/>
  <c r="T799" i="1"/>
  <c r="T377" i="1"/>
  <c r="U377" i="1"/>
  <c r="S377" i="1"/>
  <c r="T208" i="1"/>
  <c r="U208" i="1"/>
  <c r="S208" i="1"/>
  <c r="V522" i="1"/>
  <c r="U384" i="1"/>
  <c r="S384" i="1"/>
  <c r="T182" i="1"/>
  <c r="U182" i="1"/>
  <c r="S182" i="1"/>
  <c r="U372" i="1"/>
  <c r="S372" i="1"/>
  <c r="U241" i="1"/>
  <c r="S241" i="1"/>
  <c r="U527" i="1"/>
  <c r="S527" i="1"/>
  <c r="T403" i="1"/>
  <c r="S619" i="1"/>
  <c r="U805" i="1"/>
  <c r="S805" i="1"/>
  <c r="U434" i="1"/>
  <c r="S434" i="1"/>
  <c r="U567" i="1"/>
  <c r="S567" i="1"/>
  <c r="U815" i="1"/>
  <c r="S815" i="1"/>
  <c r="V426" i="1"/>
  <c r="U389" i="1"/>
  <c r="S389" i="1"/>
  <c r="K604" i="1"/>
  <c r="V604" i="1" s="1"/>
  <c r="S605" i="1"/>
  <c r="U605" i="1"/>
  <c r="T256" i="1"/>
  <c r="U256" i="1"/>
  <c r="S256" i="1"/>
  <c r="V402" i="1"/>
  <c r="U799" i="1"/>
  <c r="S799" i="1"/>
  <c r="U696" i="1"/>
  <c r="S696" i="1"/>
  <c r="U802" i="1"/>
  <c r="S802" i="1"/>
  <c r="U743" i="1"/>
  <c r="S743" i="1"/>
  <c r="V220" i="1"/>
  <c r="U221" i="1"/>
  <c r="S221" i="1"/>
  <c r="K388" i="1"/>
  <c r="V208" i="1"/>
  <c r="U252" i="1"/>
  <c r="S252" i="1"/>
  <c r="V377" i="1"/>
  <c r="U577" i="1"/>
  <c r="S577" i="1"/>
  <c r="U721" i="1"/>
  <c r="S721" i="1"/>
  <c r="U724" i="1"/>
  <c r="S724" i="1"/>
  <c r="V388" i="1"/>
  <c r="T13" i="1"/>
  <c r="U13" i="1"/>
  <c r="T584" i="1"/>
  <c r="U584" i="1"/>
  <c r="S584" i="1"/>
  <c r="T169" i="1"/>
  <c r="U169" i="1"/>
  <c r="S169" i="1"/>
  <c r="U498" i="1"/>
  <c r="S498" i="1"/>
  <c r="U621" i="1"/>
  <c r="S621" i="1"/>
  <c r="U419" i="1"/>
  <c r="S419" i="1"/>
  <c r="V621" i="1"/>
  <c r="V567" i="1"/>
  <c r="V372" i="1"/>
  <c r="V584" i="1"/>
  <c r="V704" i="1"/>
  <c r="U395" i="1"/>
  <c r="S395" i="1"/>
  <c r="U673" i="1"/>
  <c r="S673" i="1"/>
  <c r="T731" i="1"/>
  <c r="U731" i="1"/>
  <c r="S731" i="1"/>
  <c r="V696" i="1"/>
  <c r="V497" i="1"/>
  <c r="V12" i="1"/>
  <c r="T724" i="1"/>
  <c r="T673" i="1"/>
  <c r="T734" i="1"/>
  <c r="U734" i="1"/>
  <c r="S734" i="1"/>
  <c r="V256" i="1"/>
  <c r="V731" i="1"/>
  <c r="V169" i="1"/>
  <c r="V221" i="1"/>
  <c r="U715" i="1"/>
  <c r="S715" i="1"/>
  <c r="V527" i="1"/>
  <c r="V403" i="1"/>
  <c r="U408" i="1"/>
  <c r="S408" i="1"/>
  <c r="V241" i="1"/>
  <c r="V734" i="1"/>
  <c r="V721" i="1"/>
  <c r="K220" i="1"/>
  <c r="S13" i="1"/>
  <c r="T743" i="1"/>
  <c r="T605" i="1"/>
  <c r="T802" i="1"/>
  <c r="T815" i="1"/>
  <c r="T805" i="1"/>
  <c r="T434" i="1"/>
  <c r="T395" i="1"/>
  <c r="P619" i="1"/>
  <c r="K808" i="3"/>
  <c r="P12" i="1"/>
  <c r="I391" i="3"/>
  <c r="P388" i="1"/>
  <c r="O388" i="1"/>
  <c r="K374" i="3"/>
  <c r="K259" i="3"/>
  <c r="H622" i="3"/>
  <c r="R619" i="1"/>
  <c r="K676" i="3"/>
  <c r="K387" i="3"/>
  <c r="K255" i="3"/>
  <c r="K406" i="3"/>
  <c r="J391" i="3"/>
  <c r="K734" i="3"/>
  <c r="I816" i="3"/>
  <c r="P813" i="1"/>
  <c r="O813" i="1"/>
  <c r="H717" i="3"/>
  <c r="R714" i="1"/>
  <c r="Q714" i="1"/>
  <c r="J575" i="3"/>
  <c r="J405" i="3"/>
  <c r="J607" i="3"/>
  <c r="H607" i="3"/>
  <c r="R604" i="1"/>
  <c r="Q604" i="1"/>
  <c r="K580" i="3"/>
  <c r="K570" i="3"/>
  <c r="H405" i="3"/>
  <c r="R402" i="1"/>
  <c r="K172" i="3"/>
  <c r="I223" i="3"/>
  <c r="P220" i="1"/>
  <c r="O220" i="1"/>
  <c r="K530" i="3"/>
  <c r="K244" i="3"/>
  <c r="I717" i="3"/>
  <c r="P714" i="1"/>
  <c r="O714" i="1"/>
  <c r="K395" i="3"/>
  <c r="H391" i="3"/>
  <c r="R388" i="1"/>
  <c r="Q388" i="1"/>
  <c r="J800" i="3"/>
  <c r="K802" i="3"/>
  <c r="J816" i="3"/>
  <c r="H816" i="3"/>
  <c r="R813" i="1"/>
  <c r="Q813" i="1"/>
  <c r="K587" i="3"/>
  <c r="K718" i="3"/>
  <c r="O12" i="1"/>
  <c r="Q12" i="1"/>
  <c r="I405" i="3"/>
  <c r="P402" i="1"/>
  <c r="K224" i="3"/>
  <c r="H332" i="3"/>
  <c r="J223" i="3"/>
  <c r="I332" i="3"/>
  <c r="K707" i="3"/>
  <c r="K411" i="3"/>
  <c r="K727" i="3"/>
  <c r="K375" i="3"/>
  <c r="K699" i="3"/>
  <c r="K737" i="3"/>
  <c r="L405" i="3"/>
  <c r="Q402" i="1"/>
  <c r="O402" i="1"/>
  <c r="K429" i="3"/>
  <c r="I500" i="3"/>
  <c r="K501" i="3"/>
  <c r="K380" i="3"/>
  <c r="L578" i="3"/>
  <c r="O575" i="1"/>
  <c r="Q575" i="1"/>
  <c r="Q619" i="1"/>
  <c r="O619" i="1"/>
  <c r="K185" i="3"/>
  <c r="K624" i="3"/>
  <c r="H500" i="3"/>
  <c r="H223" i="3"/>
  <c r="R220" i="1"/>
  <c r="Q220" i="1"/>
  <c r="J500" i="3"/>
  <c r="H800" i="3"/>
  <c r="R797" i="1"/>
  <c r="Q797" i="1"/>
  <c r="K211" i="3"/>
  <c r="R12" i="1"/>
  <c r="J622" i="3"/>
  <c r="J717" i="3"/>
  <c r="I607" i="3"/>
  <c r="P604" i="1"/>
  <c r="O604" i="1"/>
  <c r="K422" i="3"/>
  <c r="H575" i="3"/>
  <c r="K392" i="3"/>
  <c r="I575" i="3"/>
  <c r="I800" i="3"/>
  <c r="P797" i="1"/>
  <c r="O797" i="1"/>
  <c r="K724" i="3"/>
  <c r="K525" i="3"/>
  <c r="K567" i="3"/>
  <c r="L564" i="1"/>
  <c r="K818" i="3"/>
  <c r="K813" i="1"/>
  <c r="K577" i="3"/>
  <c r="L574" i="1"/>
  <c r="S574" i="1" s="1"/>
  <c r="L618" i="1"/>
  <c r="L622" i="3"/>
  <c r="L15" i="3"/>
  <c r="K572" i="1"/>
  <c r="U572" i="1" s="1"/>
  <c r="K16" i="3"/>
  <c r="J15" i="3"/>
  <c r="T604" i="1"/>
  <c r="K608" i="3"/>
  <c r="J618" i="1"/>
  <c r="I622" i="3"/>
  <c r="H15" i="3"/>
  <c r="K714" i="1"/>
  <c r="K746" i="3"/>
  <c r="K805" i="3"/>
  <c r="K797" i="1"/>
  <c r="I15" i="3"/>
  <c r="T388" i="1"/>
  <c r="K398" i="3"/>
  <c r="K402" i="1"/>
  <c r="U402" i="1" s="1"/>
  <c r="K437" i="3"/>
  <c r="G15" i="3"/>
  <c r="I618" i="1"/>
  <c r="H618" i="1"/>
  <c r="G621" i="3" s="1"/>
  <c r="K619" i="1"/>
  <c r="T619" i="1" s="1"/>
  <c r="K497" i="1"/>
  <c r="U497" i="1" s="1"/>
  <c r="J11" i="1"/>
  <c r="I11" i="1"/>
  <c r="K12" i="1"/>
  <c r="U12" i="1" s="1"/>
  <c r="H11" i="1"/>
  <c r="T797" i="1" l="1"/>
  <c r="U797" i="1"/>
  <c r="S797" i="1"/>
  <c r="T714" i="1"/>
  <c r="U714" i="1"/>
  <c r="S714" i="1"/>
  <c r="U388" i="1"/>
  <c r="S388" i="1"/>
  <c r="S12" i="1"/>
  <c r="T813" i="1"/>
  <c r="U813" i="1"/>
  <c r="S813" i="1"/>
  <c r="L497" i="1"/>
  <c r="S497" i="1" s="1"/>
  <c r="S564" i="1"/>
  <c r="V572" i="1"/>
  <c r="T220" i="1"/>
  <c r="U220" i="1"/>
  <c r="S220" i="1"/>
  <c r="V797" i="1"/>
  <c r="V813" i="1"/>
  <c r="S402" i="1"/>
  <c r="U604" i="1"/>
  <c r="S604" i="1"/>
  <c r="V714" i="1"/>
  <c r="K575" i="3"/>
  <c r="T12" i="1"/>
  <c r="K500" i="3"/>
  <c r="K405" i="3"/>
  <c r="T402" i="1"/>
  <c r="Q564" i="1"/>
  <c r="O564" i="1"/>
  <c r="R564" i="1"/>
  <c r="K800" i="3"/>
  <c r="H14" i="3"/>
  <c r="K607" i="3"/>
  <c r="H621" i="3"/>
  <c r="R618" i="1"/>
  <c r="K816" i="3"/>
  <c r="I14" i="3"/>
  <c r="K717" i="3"/>
  <c r="K223" i="3"/>
  <c r="K391" i="3"/>
  <c r="I621" i="3"/>
  <c r="P618" i="1"/>
  <c r="L621" i="3"/>
  <c r="O618" i="1"/>
  <c r="Q618" i="1"/>
  <c r="J621" i="3"/>
  <c r="Q574" i="1"/>
  <c r="O574" i="1"/>
  <c r="L577" i="3"/>
  <c r="L572" i="1"/>
  <c r="L567" i="3"/>
  <c r="T497" i="1"/>
  <c r="K369" i="1"/>
  <c r="K373" i="3"/>
  <c r="K15" i="3"/>
  <c r="K618" i="1"/>
  <c r="S618" i="1" s="1"/>
  <c r="K622" i="3"/>
  <c r="G14" i="3"/>
  <c r="I10" i="1"/>
  <c r="H13" i="3" s="1"/>
  <c r="J10" i="1"/>
  <c r="I13" i="3" s="1"/>
  <c r="H10" i="1"/>
  <c r="G13" i="3" s="1"/>
  <c r="T572" i="1" l="1"/>
  <c r="S572" i="1"/>
  <c r="T369" i="1"/>
  <c r="U369" i="1"/>
  <c r="S369" i="1"/>
  <c r="V369" i="1"/>
  <c r="K621" i="3"/>
  <c r="T618" i="1"/>
  <c r="L500" i="3"/>
  <c r="Q497" i="1"/>
  <c r="O497" i="1"/>
  <c r="P497" i="1"/>
  <c r="R497" i="1"/>
  <c r="K372" i="3"/>
  <c r="L575" i="3"/>
  <c r="Q572" i="1"/>
  <c r="O572" i="1"/>
  <c r="R572" i="1"/>
  <c r="P572" i="1"/>
  <c r="K367" i="1"/>
  <c r="K371" i="3"/>
  <c r="T367" i="1" l="1"/>
  <c r="U367" i="1"/>
  <c r="S367" i="1"/>
  <c r="V367" i="1"/>
  <c r="K370" i="3"/>
  <c r="K365" i="1"/>
  <c r="K369" i="3"/>
  <c r="T365" i="1" l="1"/>
  <c r="U365" i="1"/>
  <c r="S365" i="1"/>
  <c r="V365" i="1"/>
  <c r="K368" i="3"/>
  <c r="T363" i="1"/>
  <c r="K367" i="3"/>
  <c r="K366" i="3" l="1"/>
  <c r="T361" i="1"/>
  <c r="K365" i="3"/>
  <c r="K364" i="3" l="1"/>
  <c r="K359" i="1"/>
  <c r="K363" i="3"/>
  <c r="U359" i="1" l="1"/>
  <c r="S359" i="1"/>
  <c r="V359" i="1"/>
  <c r="T359" i="1"/>
  <c r="K358" i="1"/>
  <c r="K360" i="3"/>
  <c r="L357" i="1"/>
  <c r="S357" i="1" s="1"/>
  <c r="K362" i="3"/>
  <c r="U358" i="1" l="1"/>
  <c r="S358" i="1"/>
  <c r="V358" i="1"/>
  <c r="T358" i="1"/>
  <c r="K361" i="3"/>
  <c r="L360" i="3"/>
  <c r="Q357" i="1"/>
  <c r="O357" i="1"/>
  <c r="K359" i="3"/>
  <c r="L356" i="1"/>
  <c r="S356" i="1" s="1"/>
  <c r="K358" i="3" l="1"/>
  <c r="Q356" i="1"/>
  <c r="O356" i="1"/>
  <c r="L329" i="1"/>
  <c r="L359" i="3"/>
  <c r="L11" i="1" l="1"/>
  <c r="L1" i="1" s="1"/>
  <c r="M330" i="1"/>
  <c r="T5" i="1"/>
  <c r="O329" i="1"/>
  <c r="Q329" i="1"/>
  <c r="P329" i="1"/>
  <c r="R329" i="1"/>
  <c r="K357" i="3"/>
  <c r="L332" i="3"/>
  <c r="K356" i="3" l="1"/>
  <c r="O11" i="1"/>
  <c r="Q11" i="1"/>
  <c r="R11" i="1"/>
  <c r="P11" i="1"/>
  <c r="L14" i="3"/>
  <c r="L10" i="1"/>
  <c r="N9" i="1" s="1"/>
  <c r="N2" i="1" l="1"/>
  <c r="N11" i="1"/>
  <c r="N1" i="1" s="1"/>
  <c r="AW6" i="7" s="1"/>
  <c r="L13" i="3"/>
  <c r="K351" i="1"/>
  <c r="K355" i="3"/>
  <c r="T351" i="1" l="1"/>
  <c r="U351" i="1"/>
  <c r="S351" i="1"/>
  <c r="V351" i="1"/>
  <c r="D10" i="7"/>
  <c r="D9" i="7"/>
  <c r="D8" i="7"/>
  <c r="D7" i="7"/>
  <c r="D6" i="7"/>
  <c r="S1" i="1"/>
  <c r="T6" i="1"/>
  <c r="T8" i="1" s="1"/>
  <c r="K354" i="3"/>
  <c r="K349" i="1"/>
  <c r="K353" i="3"/>
  <c r="T349" i="1" l="1"/>
  <c r="U349" i="1"/>
  <c r="S349" i="1"/>
  <c r="V349" i="1"/>
  <c r="K352" i="3"/>
  <c r="K347" i="1"/>
  <c r="K351" i="3"/>
  <c r="T347" i="1" l="1"/>
  <c r="U347" i="1"/>
  <c r="S347" i="1"/>
  <c r="V347" i="1"/>
  <c r="K350" i="3"/>
  <c r="K345" i="1"/>
  <c r="K349" i="3"/>
  <c r="T345" i="1" l="1"/>
  <c r="U345" i="1"/>
  <c r="S345" i="1"/>
  <c r="K348" i="3"/>
  <c r="K343" i="1"/>
  <c r="K347" i="3"/>
  <c r="T343" i="1" l="1"/>
  <c r="U343" i="1"/>
  <c r="S343" i="1"/>
  <c r="V343" i="1"/>
  <c r="K346" i="3"/>
  <c r="K341" i="1"/>
  <c r="K345" i="3"/>
  <c r="T341" i="1" l="1"/>
  <c r="U341" i="1"/>
  <c r="S341" i="1"/>
  <c r="K344" i="3"/>
  <c r="K339" i="1"/>
  <c r="K343" i="3"/>
  <c r="T339" i="1" l="1"/>
  <c r="U339" i="1"/>
  <c r="S339" i="1"/>
  <c r="V339" i="1"/>
  <c r="K342" i="3"/>
  <c r="K337" i="1"/>
  <c r="K341" i="3"/>
  <c r="T337" i="1" l="1"/>
  <c r="U337" i="1"/>
  <c r="S337" i="1"/>
  <c r="V337" i="1"/>
  <c r="K340" i="3"/>
  <c r="K335" i="1"/>
  <c r="K339" i="3"/>
  <c r="T335" i="1" l="1"/>
  <c r="U335" i="1"/>
  <c r="S335" i="1"/>
  <c r="V335" i="1"/>
  <c r="K338" i="3"/>
  <c r="K333" i="1"/>
  <c r="K337" i="3"/>
  <c r="T333" i="1" l="1"/>
  <c r="U333" i="1"/>
  <c r="S333" i="1"/>
  <c r="V333" i="1"/>
  <c r="J333" i="3"/>
  <c r="K336" i="3"/>
  <c r="K331" i="1"/>
  <c r="K335" i="3"/>
  <c r="U331" i="1" l="1"/>
  <c r="S331" i="1"/>
  <c r="V331" i="1"/>
  <c r="T331" i="1"/>
  <c r="K330" i="1"/>
  <c r="J332" i="3"/>
  <c r="K334" i="3"/>
  <c r="K329" i="1" l="1"/>
  <c r="U330" i="1"/>
  <c r="S330" i="1"/>
  <c r="V330" i="1"/>
  <c r="T330" i="1"/>
  <c r="J14" i="3"/>
  <c r="K333" i="3"/>
  <c r="J13" i="3"/>
  <c r="T4" i="1" l="1"/>
  <c r="T7" i="1" s="1"/>
  <c r="U329" i="1"/>
  <c r="V329" i="1"/>
  <c r="S329" i="1"/>
  <c r="T329" i="1"/>
  <c r="M329" i="1"/>
  <c r="K11" i="1"/>
  <c r="K332" i="3"/>
  <c r="U11" i="1" l="1"/>
  <c r="V11" i="1"/>
  <c r="S11" i="1"/>
  <c r="T11" i="1"/>
  <c r="K10" i="1"/>
  <c r="K13" i="3" s="1"/>
  <c r="K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</author>
    <author>Knápek Martin, Ing.</author>
    <author>Uživatel systému Windows</author>
    <author>63222</author>
    <author>Ondřej Havlíček</author>
    <author>Havlíčkovi</author>
  </authors>
  <commentList>
    <comment ref="L10" authorId="0" shapeId="0" xr:uid="{85491F0B-932B-4651-83B2-95035F7CCDD7}">
      <text>
        <r>
          <rPr>
            <b/>
            <sz val="9"/>
            <color indexed="9"/>
            <rFont val="Tahoma"/>
            <family val="2"/>
            <charset val="238"/>
          </rPr>
          <t>Martin:</t>
        </r>
        <r>
          <rPr>
            <sz val="9"/>
            <color indexed="9"/>
            <rFont val="Tahoma"/>
            <family val="2"/>
            <charset val="238"/>
          </rPr>
          <t xml:space="preserve">
SCHÁZÍ DPPO !!!</t>
        </r>
      </text>
    </comment>
    <comment ref="M13" authorId="0" shapeId="0" xr:uid="{E1349FD8-3E8C-4968-A0C3-FA51F6341C21}">
      <text>
        <r>
          <rPr>
            <b/>
            <sz val="9"/>
            <color indexed="9"/>
            <rFont val="Tahoma"/>
            <family val="2"/>
            <charset val="238"/>
          </rPr>
          <t>Martin:</t>
        </r>
        <r>
          <rPr>
            <sz val="9"/>
            <color indexed="9"/>
            <rFont val="Tahoma"/>
            <family val="2"/>
            <charset val="238"/>
          </rPr>
          <t xml:space="preserve">
AKTUALIZOVAT skutečné výše REZERV dle výchozího rozdělení limitů, včetně komentáře k HIGHLIGHTS
</t>
        </r>
      </text>
    </comment>
    <comment ref="L25" authorId="1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Kliniky plánovaly 1.855
</t>
        </r>
      </text>
    </comment>
    <comment ref="L26" authorId="2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3,5 mil Hemlibra na DK
</t>
        </r>
      </text>
    </comment>
    <comment ref="L29" authorId="3" shapeId="0" xr:uid="{00000000-0006-0000-0000-000005000000}">
      <text>
        <r>
          <rPr>
            <sz val="10"/>
            <color indexed="81"/>
            <rFont val="Calibri"/>
            <family val="2"/>
            <charset val="238"/>
            <scheme val="minor"/>
          </rPr>
          <t>Návrh R20 - doc. Koranda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40" authorId="1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Předpokládané celkové úhrady CL činí 1,350 mld Kč, v tom však současně zahrnut §16 u ČPZP a VZP ve výši 20 mil. Kč, tudíž o toto poníženy náklady na CL (těchto 20 mil. již je zahrnuto v §16), k tomu však přičteno 10 mil. jako zásoba tj. nafasované léky avšak nevykázané.
</t>
        </r>
      </text>
    </comment>
    <comment ref="L41" authorId="1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rezerva 15 mil. Kč
</t>
        </r>
      </text>
    </comment>
    <comment ref="L47" authorId="1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Kliniky plánovaly 1.051 mil. Kč
</t>
        </r>
      </text>
    </comment>
    <comment ref="L61" authorId="2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Granty + 5.727.000 Kč
</t>
        </r>
      </text>
    </comment>
    <comment ref="L84" authorId="2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ZH: doplněna Urologie + 170 na jednorázové operační nástroje.
</t>
        </r>
      </text>
    </comment>
    <comment ref="L98" authorId="2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stravní jednotka navýšena o 2 Kč
</t>
        </r>
      </text>
    </comment>
    <comment ref="L120" authorId="2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-900.000,- schůzka Ing. Miklík 11.12.2019
</t>
        </r>
      </text>
    </comment>
    <comment ref="L173" authorId="4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12.12.2019 -4 mil.
</t>
        </r>
      </text>
    </comment>
    <comment ref="L175" authorId="4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po jednání s Ing. Olejníčkem 12.12.2019 -2 mil.
Od 1.1.2020 přechod do 10% sazby: rozdíl 2.374 tis. *0,91 koeficient půjde do rezervy
tj. 2.160</t>
        </r>
      </text>
    </comment>
    <comment ref="L227" authorId="2" shapeId="0" xr:uid="{00000000-0006-0000-0000-00000F000000}">
      <text>
        <r>
          <rPr>
            <i/>
            <sz val="9"/>
            <color indexed="81"/>
            <rFont val="Tahoma"/>
            <family val="2"/>
            <charset val="238"/>
          </rPr>
          <t>2019: prádelna 63.475,-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228" authorId="4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po jednání s Ing. Olejníčkem 12.12.2019 -6 mil.
Rezerva UHTS 1,9 mil Kč
Od 1.1.2020 přechod do 10% sazby u páry: rozdíl 2.374 tis. *0,91 koeficient jde do rezervy OSB tj. 2.160 mil Kč</t>
        </r>
      </text>
    </comment>
    <comment ref="L229" authorId="4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12.12.2019 -1 mil.
</t>
        </r>
      </text>
    </comment>
    <comment ref="L231" authorId="4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12.12.2019 -400 tis.
</t>
        </r>
      </text>
    </comment>
    <comment ref="L237" authorId="4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12.12.2019 -1 mil.
</t>
        </r>
      </text>
    </comment>
    <comment ref="L243" authorId="3" shapeId="0" xr:uid="{00000000-0006-0000-0000-000014000000}">
      <text>
        <r>
          <rPr>
            <sz val="8"/>
            <color indexed="81"/>
            <rFont val="Calibri"/>
            <family val="2"/>
            <charset val="238"/>
            <scheme val="minor"/>
          </rPr>
          <t>3.800.000,-   OPMČ
     60.000,-   Paliativní píče
     30.000,-   ENOCH</t>
        </r>
      </text>
    </comment>
    <comment ref="L248" authorId="3" shapeId="0" xr:uid="{00000000-0006-0000-0000-000015000000}">
      <text>
        <r>
          <rPr>
            <sz val="8"/>
            <color indexed="81"/>
            <rFont val="Calibri"/>
            <family val="2"/>
            <charset val="238"/>
            <scheme val="minor"/>
          </rPr>
          <t>2.300.000,-   OVLZ
   328.000,-   MEDEVAC
   180.000,-   ENOCH
  1.200.000,- - granty</t>
        </r>
      </text>
    </comment>
    <comment ref="L263" authorId="2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 xml:space="preserve">pouze odhad IT
</t>
        </r>
      </text>
    </comment>
    <comment ref="A264" authorId="2" shapeId="0" xr:uid="{00000000-0006-0000-0000-000017000000}">
      <text>
        <r>
          <rPr>
            <b/>
            <sz val="8"/>
            <color indexed="81"/>
            <rFont val="Tahoma"/>
            <family val="2"/>
            <charset val="238"/>
          </rPr>
          <t>HS:</t>
        </r>
        <r>
          <rPr>
            <sz val="8"/>
            <color indexed="81"/>
            <rFont val="Tahoma"/>
            <family val="2"/>
            <charset val="238"/>
          </rPr>
          <t>od 30.9.2018 není žádný pohyb</t>
        </r>
        <r>
          <rPr>
            <sz val="12"/>
            <color indexed="81"/>
            <rFont val="Tahoma"/>
            <family val="2"/>
            <charset val="238"/>
          </rPr>
          <t xml:space="preserve">
</t>
        </r>
      </text>
    </comment>
    <comment ref="L266" authorId="2" shapeId="0" xr:uid="{00000000-0006-0000-0000-000018000000}">
      <text>
        <r>
          <rPr>
            <sz val="9"/>
            <color indexed="81"/>
            <rFont val="Tahoma"/>
            <family val="2"/>
            <charset val="238"/>
          </rPr>
          <t xml:space="preserve">15 000*12 - 707 000 - schůzka Ing. Miklík 11.12.2019 
</t>
        </r>
      </text>
    </comment>
    <comment ref="L267" authorId="3" shapeId="0" xr:uid="{00000000-0006-0000-0000-000019000000}">
      <text>
        <r>
          <rPr>
            <sz val="8"/>
            <color indexed="81"/>
            <rFont val="Calibri"/>
            <family val="2"/>
            <charset val="238"/>
            <scheme val="minor"/>
          </rPr>
          <t>Nájem Ritter&amp;Štastný</t>
        </r>
      </text>
    </comment>
    <comment ref="L270" authorId="3" shapeId="0" xr:uid="{00000000-0006-0000-0000-00001A000000}">
      <text>
        <r>
          <rPr>
            <sz val="8"/>
            <color indexed="81"/>
            <rFont val="Calibri"/>
            <family val="2"/>
            <charset val="238"/>
            <scheme val="minor"/>
          </rPr>
          <t>RTG rameno - Vojenská nem.</t>
        </r>
      </text>
    </comment>
    <comment ref="L274" authorId="2" shapeId="0" xr:uid="{00000000-0006-0000-0000-00001B000000}">
      <text>
        <r>
          <rPr>
            <sz val="9"/>
            <color indexed="81"/>
            <rFont val="Tahoma"/>
            <family val="2"/>
            <charset val="238"/>
          </rPr>
          <t xml:space="preserve">ZH: Pokud bychom počítali skutečnost 2 největších měsíců tj červen a květen na celorok, pak se dostaneme k částce 50.866 tis. Kč, ve výpočtu je 51.396 tis. Kč, je zde ukryta 530 tis. možná rezerva
</t>
        </r>
      </text>
    </comment>
    <comment ref="L277" authorId="4" shapeId="0" xr:uid="{00000000-0006-0000-0000-00001C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12.12.2019 -500 tis..
</t>
        </r>
      </text>
    </comment>
    <comment ref="L279" authorId="4" shapeId="0" xr:uid="{00000000-0006-0000-0000-00001D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12.12.2019 -500 tis.
</t>
        </r>
      </text>
    </comment>
    <comment ref="L280" authorId="5" shapeId="0" xr:uid="{00000000-0006-0000-0000-00001E000000}">
      <text>
        <r>
          <rPr>
            <sz val="9"/>
            <color indexed="81"/>
            <rFont val="Tahoma"/>
            <family val="2"/>
            <charset val="238"/>
          </rPr>
          <t xml:space="preserve">ZH: dle propočtu střednědobého výhledu úspora 6.100 tis. Kč
</t>
        </r>
      </text>
    </comment>
    <comment ref="L284" authorId="2" shapeId="0" xr:uid="{00000000-0006-0000-0000-00001F000000}">
      <text>
        <r>
          <rPr>
            <sz val="9"/>
            <color indexed="81"/>
            <rFont val="Tahoma"/>
            <family val="2"/>
            <charset val="238"/>
          </rPr>
          <t xml:space="preserve">Jednání Ing. Jeřábková 17.12.2019 -150 tis.
</t>
        </r>
      </text>
    </comment>
    <comment ref="L288" authorId="2" shapeId="0" xr:uid="{00000000-0006-0000-0000-000020000000}">
      <text>
        <r>
          <rPr>
            <sz val="9"/>
            <color indexed="81"/>
            <rFont val="Tahoma"/>
            <family val="2"/>
            <charset val="238"/>
          </rPr>
          <t xml:space="preserve">rezerva ÚHTS 2.000 tis. kč
</t>
        </r>
      </text>
    </comment>
    <comment ref="L294" authorId="2" shapeId="0" xr:uid="{00000000-0006-0000-0000-000021000000}">
      <text>
        <r>
          <rPr>
            <sz val="9"/>
            <color indexed="81"/>
            <rFont val="Tahoma"/>
            <family val="2"/>
            <charset val="238"/>
          </rPr>
          <t xml:space="preserve">Servisní smlouva na 8 let
</t>
        </r>
      </text>
    </comment>
    <comment ref="L295" authorId="4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12.12.2019 -3 mil.
</t>
        </r>
      </text>
    </comment>
    <comment ref="L304" authorId="2" shapeId="0" xr:uid="{00000000-0006-0000-0000-000023000000}">
      <text>
        <r>
          <rPr>
            <sz val="9"/>
            <color indexed="81"/>
            <rFont val="Tahoma"/>
            <family val="2"/>
            <charset val="238"/>
          </rPr>
          <t>ZH: 700 tis. demolice vojenské vrátnice, 1.000 tis. demolice skladu pod TU, 1.500 tis. demolice objektu v areálu Balus, 700 tis. demolice skladu vedle OIN, 2000 tis. demolice krechtu u WD, 100 tis. demolice chlorovny odpadních vod.
+1.400.000,- Granty
+2.560.000,- Institucionální podpora</t>
        </r>
      </text>
    </comment>
    <comment ref="L306" authorId="5" shapeId="0" xr:uid="{00000000-0006-0000-0000-000024000000}">
      <text>
        <r>
          <rPr>
            <sz val="9"/>
            <color indexed="81"/>
            <rFont val="Tahoma"/>
            <family val="2"/>
            <charset val="238"/>
          </rPr>
          <t>ZH: optimalizace operačních procesů 2.370 tis. Kč
Mgr. Svozil 72 tis., BDO - vratka DPH 664 tis. kč</t>
        </r>
      </text>
    </comment>
    <comment ref="L307" authorId="3" shapeId="0" xr:uid="{00000000-0006-0000-0000-000025000000}">
      <text>
        <r>
          <rPr>
            <sz val="8"/>
            <color indexed="81"/>
            <rFont val="Tahoma"/>
            <family val="2"/>
            <charset val="238"/>
          </rPr>
          <t>OVLZ (PEU): 200.000,-Kč
OMAR: (OBU): 300.000,- Kč
OVZ:</t>
        </r>
      </text>
    </comment>
    <comment ref="L311" authorId="2" shapeId="0" xr:uid="{00000000-0006-0000-0000-000026000000}">
      <text>
        <r>
          <rPr>
            <sz val="9"/>
            <color indexed="81"/>
            <rFont val="Tahoma"/>
            <family val="2"/>
            <charset val="238"/>
          </rPr>
          <t>Pouze odhad IT
- 1.500 mil.- schůzka Ing. Miklík 11.12.2019</t>
        </r>
      </text>
    </comment>
    <comment ref="L312" authorId="2" shapeId="0" xr:uid="{00000000-0006-0000-0000-000027000000}">
      <text>
        <r>
          <rPr>
            <sz val="9"/>
            <color indexed="81"/>
            <rFont val="Tahoma"/>
            <family val="2"/>
            <charset val="238"/>
          </rPr>
          <t>ZH: prodloužení licencí žasové rozlišení 1,2 mil Kč
rezerva 2 mil IT</t>
        </r>
      </text>
    </comment>
    <comment ref="L315" authorId="2" shapeId="0" xr:uid="{00000000-0006-0000-0000-000028000000}">
      <text>
        <r>
          <rPr>
            <sz val="9"/>
            <color indexed="81"/>
            <rFont val="Tahoma"/>
            <family val="2"/>
            <charset val="238"/>
          </rPr>
          <t xml:space="preserve">Jednání Ing. Jeřábková 17.12.2019 -100 tis.
</t>
        </r>
      </text>
    </comment>
    <comment ref="L317" authorId="2" shapeId="0" xr:uid="{00000000-0006-0000-0000-000029000000}">
      <text>
        <r>
          <rPr>
            <sz val="9"/>
            <color indexed="81"/>
            <rFont val="Tahoma"/>
            <family val="2"/>
            <charset val="238"/>
          </rPr>
          <t>Jednání Ing. Jeřábková 17.12.2019 -150 tis.
Rezerva marketing 200 tis. Kč</t>
        </r>
      </text>
    </comment>
    <comment ref="L452" authorId="3" shapeId="0" xr:uid="{00000000-0006-0000-0000-00002A000000}">
      <text>
        <r>
          <rPr>
            <sz val="8"/>
            <color indexed="81"/>
            <rFont val="Calibri"/>
            <family val="2"/>
            <charset val="238"/>
            <scheme val="minor"/>
          </rPr>
          <t xml:space="preserve">1.500.000,-   OVLZ                              
     10.000,-   Paliativní píče
 </t>
        </r>
      </text>
    </comment>
    <comment ref="L453" authorId="3" shapeId="0" xr:uid="{00000000-0006-0000-0000-00002B000000}">
      <text>
        <r>
          <rPr>
            <sz val="8"/>
            <color indexed="81"/>
            <rFont val="Calibri"/>
            <family val="2"/>
            <charset val="238"/>
            <scheme val="minor"/>
          </rPr>
          <t xml:space="preserve">2.100.000,-   OVLZ
     10.000,-   Paliativní péče  
       2.000,-   ENOCH </t>
        </r>
      </text>
    </comment>
    <comment ref="L486" authorId="3" shapeId="0" xr:uid="{00000000-0006-0000-0000-00002C000000}">
      <text>
        <r>
          <rPr>
            <sz val="8"/>
            <color indexed="81"/>
            <rFont val="Calibri"/>
            <family val="2"/>
            <charset val="238"/>
            <scheme val="minor"/>
          </rPr>
          <t xml:space="preserve">500.000,-   OVLZ
  80.000,-   ENOCH </t>
        </r>
      </text>
    </comment>
    <comment ref="L507" authorId="2" shapeId="0" xr:uid="{00000000-0006-0000-0000-00002D000000}">
      <text>
        <r>
          <rPr>
            <sz val="9"/>
            <color indexed="81"/>
            <rFont val="Tahoma"/>
            <family val="2"/>
            <charset val="238"/>
          </rPr>
          <t xml:space="preserve">Přeřazení odpisu do ZC ve výši 638.013,- Kč
</t>
        </r>
      </text>
    </comment>
    <comment ref="L514" authorId="2" shapeId="0" xr:uid="{00000000-0006-0000-0000-00002E000000}">
      <text>
        <r>
          <rPr>
            <sz val="9"/>
            <color indexed="81"/>
            <rFont val="Tahoma"/>
            <family val="2"/>
            <charset val="238"/>
          </rPr>
          <t>Vyřazení třetího urychlovače: ZC 9.261.405 Kč
Přeřazení odpisu do ZC ve výši 638.013,- Kč</t>
        </r>
      </text>
    </comment>
    <comment ref="L531" authorId="3" shapeId="0" xr:uid="{00000000-0006-0000-0000-00002F000000}">
      <text>
        <r>
          <rPr>
            <sz val="8"/>
            <color indexed="81"/>
            <rFont val="Calibri"/>
            <family val="2"/>
            <charset val="238"/>
            <scheme val="minor"/>
          </rPr>
          <t>25 mil.Kč - obměna infuzní techniky
 9 mil. Kč - obměna drobného majetku
10 mil. Kč - obměna optiky a nástrojů
1,5 mil. Kč - vybavení nových pracovišť HOK
2,5, mil. Kč - standardní obměna drobných přístrojů
po jednání s Ing. Knápkem 16.12.2019 -18 mil.
rezerva OBÚ 3 mil Kč</t>
        </r>
      </text>
    </comment>
    <comment ref="L544" authorId="2" shapeId="0" xr:uid="{00000000-0006-0000-0000-000030000000}">
      <text>
        <r>
          <rPr>
            <sz val="9"/>
            <color indexed="81"/>
            <rFont val="Tahoma"/>
            <family val="2"/>
            <charset val="238"/>
          </rPr>
          <t xml:space="preserve">-4.525.000,- - schůzka Ing. Miklík 11.12.2019
</t>
        </r>
      </text>
    </comment>
    <comment ref="L550" authorId="4" shapeId="0" xr:uid="{00000000-0006-0000-0000-000031000000}">
      <text>
        <r>
          <rPr>
            <sz val="9"/>
            <color indexed="81"/>
            <rFont val="Tahoma"/>
            <family val="2"/>
            <charset val="238"/>
          </rPr>
          <t xml:space="preserve">po jednání s Ing. Olejníčkem 12.12.2019 -1,5 mil.
</t>
        </r>
      </text>
    </comment>
    <comment ref="L558" authorId="2" shapeId="0" xr:uid="{00000000-0006-0000-0000-000032000000}">
      <text>
        <r>
          <rPr>
            <sz val="9"/>
            <color indexed="81"/>
            <rFont val="Tahoma"/>
            <family val="2"/>
            <charset val="238"/>
          </rPr>
          <t xml:space="preserve">-575 tis. - schůzka Ing. Miklík 11.12.2019
</t>
        </r>
      </text>
    </comment>
    <comment ref="L664" authorId="1" shapeId="0" xr:uid="{00000000-0006-0000-0000-000033000000}">
      <text>
        <r>
          <rPr>
            <sz val="9"/>
            <color indexed="81"/>
            <rFont val="Tahoma"/>
            <family val="2"/>
            <charset val="238"/>
          </rPr>
          <t xml:space="preserve">10.12.19 Aktuálně dopočet dle MAK 6,742 mld při výkonnosti 2018 +33 mil ambice CL = 6,775 mld.; nyní zahrnutá rezerva 20 mil., tj. tržby celkem 6,750 mld.; k tomu dále do úhrad přičteno 2x16,2 mil. Kč (Kanuma DK, ZP207 a ZP211) = 6,7874 mld.
</t>
        </r>
      </text>
    </comment>
    <comment ref="L665" authorId="2" shapeId="0" xr:uid="{00000000-0006-0000-0000-000034000000}">
      <text>
        <r>
          <rPr>
            <sz val="9"/>
            <color indexed="81"/>
            <rFont val="Tahoma"/>
            <family val="2"/>
            <charset val="238"/>
          </rPr>
          <t>3,5 mil Hemlibra na DK
rezerva zisk 24.099.567</t>
        </r>
      </text>
    </comment>
    <comment ref="L666" authorId="1" shapeId="0" xr:uid="{00000000-0006-0000-0000-000035000000}">
      <text>
        <r>
          <rPr>
            <sz val="9"/>
            <color indexed="81"/>
            <rFont val="Tahoma"/>
            <family val="2"/>
            <charset val="238"/>
          </rPr>
          <t xml:space="preserve">Dle vyhlášky 1,317 mld, plán 1,35 mld.,33 mil. nepokryto, ambice vyjednat se ZP nad vyhlášku
</t>
        </r>
      </text>
    </comment>
    <comment ref="L748" authorId="2" shapeId="0" xr:uid="{00000000-0006-0000-0000-000036000000}">
      <text>
        <r>
          <rPr>
            <sz val="9"/>
            <color indexed="81"/>
            <rFont val="Tahoma"/>
            <family val="2"/>
            <charset val="238"/>
          </rPr>
          <t xml:space="preserve">vratka DPH od FÚ
</t>
        </r>
      </text>
    </comment>
    <comment ref="L749" authorId="2" shapeId="0" xr:uid="{00000000-0006-0000-0000-000037000000}">
      <text>
        <r>
          <rPr>
            <sz val="9"/>
            <color indexed="81"/>
            <rFont val="Tahoma"/>
            <family val="2"/>
            <charset val="238"/>
          </rPr>
          <t xml:space="preserve">+720 tis, outsourcované služby ENOCH
</t>
        </r>
      </text>
    </comment>
    <comment ref="L763" authorId="2" shapeId="0" xr:uid="{00000000-0006-0000-0000-000038000000}">
      <text>
        <r>
          <rPr>
            <sz val="9"/>
            <color indexed="81"/>
            <rFont val="Tahoma"/>
            <family val="2"/>
            <charset val="238"/>
          </rPr>
          <t xml:space="preserve">Jednání Ing. Jeřábková 17.12.2019 +300 tis.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Knápek Martin, Ing.</author>
  </authors>
  <commentList>
    <comment ref="G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obsahuje Hemlibru ve výši 3,5 mil Kč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</author>
  </authors>
  <commentList>
    <comment ref="C2" authorId="0" shapeId="0" xr:uid="{67F4DACB-7D5B-4E6A-9194-BC3EDA9AAD8A}">
      <text>
        <r>
          <rPr>
            <b/>
            <sz val="9"/>
            <color indexed="9"/>
            <rFont val="Tahoma"/>
            <family val="2"/>
            <charset val="238"/>
          </rPr>
          <t>Martin:</t>
        </r>
        <r>
          <rPr>
            <sz val="9"/>
            <color indexed="9"/>
            <rFont val="Tahoma"/>
            <family val="2"/>
            <charset val="238"/>
          </rPr>
          <t xml:space="preserve">
AKTUALIZOVAT výši rezerv + DOPLNIT INFO K CL a Par 16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D6" authorId="0" shapeId="0" xr:uid="{F5A8D924-33BE-4B1A-9130-0CA4826EF3B7}">
      <text>
        <r>
          <rPr>
            <sz val="9"/>
            <color indexed="81"/>
            <rFont val="Tahoma"/>
            <family val="2"/>
            <charset val="238"/>
          </rPr>
          <t>Nutno ověřit absolutní výši v osobních nákladech, dnes přebráno jako dopočet na 180 mil. HV+10mil rezerva
suma ON 84.455.243,- Kč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  <author>Havlíčkovi</author>
    <author>Martin</author>
  </authors>
  <commentList>
    <comment ref="K10" authorId="0" shapeId="0" xr:uid="{F9BE64F0-36F6-4863-82FD-5E46BDF350FF}">
      <text>
        <r>
          <rPr>
            <sz val="9"/>
            <color indexed="81"/>
            <rFont val="Tahoma"/>
            <family val="2"/>
            <charset val="238"/>
          </rPr>
          <t xml:space="preserve">skutečná rezerva ÚHTS 400 tis. kč
</t>
        </r>
      </text>
    </comment>
    <comment ref="K17" authorId="0" shapeId="0" xr:uid="{7ADAD996-DF2E-4B23-9881-D97EBE42DAE6}">
      <text>
        <r>
          <rPr>
            <sz val="9"/>
            <color indexed="81"/>
            <rFont val="Tahoma"/>
            <family val="2"/>
            <charset val="238"/>
          </rPr>
          <t xml:space="preserve">skutečná rezerva ÚHTS 2.160 tis. Kč
</t>
        </r>
      </text>
    </comment>
    <comment ref="I29" authorId="0" shapeId="0" xr:uid="{8B48DB36-290D-43EF-84C9-CFA9D17AEE7A}">
      <text>
        <r>
          <rPr>
            <sz val="9"/>
            <color indexed="81"/>
            <rFont val="Tahoma"/>
            <family val="2"/>
            <charset val="238"/>
          </rPr>
          <t xml:space="preserve">ZH: 700 tis. demolice vojenské vrátnice, 1.000 tis. demolice skladu pod TU, 1.500 tis. demolice objektu v areálu Balus, 700 tis. demolice skladu vedle OIN, 2000 tis. demolice krechtu u WD, 100 tis. demolice chlorovny odpadních vod.
</t>
        </r>
      </text>
    </comment>
    <comment ref="I35" authorId="0" shapeId="0" xr:uid="{384FC228-DEC8-40D0-94EE-4D75DA0CAA47}">
      <text>
        <r>
          <rPr>
            <i/>
            <sz val="9"/>
            <color indexed="81"/>
            <rFont val="Tahoma"/>
            <family val="2"/>
            <charset val="238"/>
          </rPr>
          <t>2019 prádelna: 63.475,</t>
        </r>
        <r>
          <rPr>
            <sz val="9"/>
            <color indexed="81"/>
            <rFont val="Tahoma"/>
            <family val="2"/>
            <charset val="238"/>
          </rPr>
          <t xml:space="preserve">-
</t>
        </r>
      </text>
    </comment>
    <comment ref="I42" authorId="1" shapeId="0" xr:uid="{2517919D-CB78-4F53-B810-0F7784FE3E3A}">
      <text>
        <r>
          <rPr>
            <sz val="9"/>
            <color indexed="81"/>
            <rFont val="Tahoma"/>
            <family val="2"/>
            <charset val="238"/>
          </rPr>
          <t xml:space="preserve">ZH: dle propočtu střednědobého výhledu úspora 6.100 tis. Kč
</t>
        </r>
      </text>
    </comment>
    <comment ref="I43" authorId="0" shapeId="0" xr:uid="{65BCB545-3E3A-4A99-801B-13A0BE91E922}">
      <text>
        <r>
          <rPr>
            <sz val="9"/>
            <color indexed="81"/>
            <rFont val="Tahoma"/>
            <family val="2"/>
            <charset val="238"/>
          </rPr>
          <t xml:space="preserve">Servisní smlouva na 8 let
</t>
        </r>
      </text>
    </comment>
    <comment ref="I44" authorId="0" shapeId="0" xr:uid="{854DDED2-F7D7-473D-8563-99D33C347773}">
      <text>
        <r>
          <rPr>
            <sz val="9"/>
            <color indexed="81"/>
            <rFont val="Tahoma"/>
            <family val="2"/>
            <charset val="238"/>
          </rPr>
          <t xml:space="preserve">Závorový systém 1.440 tis. Kč, 2019 nic
</t>
        </r>
      </text>
    </comment>
    <comment ref="K52" authorId="0" shapeId="0" xr:uid="{401D4CC4-F73F-48CA-9125-4C71BDA8D47D}">
      <text>
        <r>
          <rPr>
            <sz val="9"/>
            <color indexed="81"/>
            <rFont val="Tahoma"/>
            <family val="2"/>
            <charset val="238"/>
          </rPr>
          <t>skutečná rezerva ÚHTS
2.000 tis. Kč</t>
        </r>
      </text>
    </comment>
    <comment ref="K96" authorId="0" shapeId="0" xr:uid="{E911778F-2199-419A-B3ED-E4D2EC023395}">
      <text>
        <r>
          <rPr>
            <sz val="9"/>
            <color indexed="81"/>
            <rFont val="Tahoma"/>
            <family val="2"/>
            <charset val="238"/>
          </rPr>
          <t xml:space="preserve">skutečná rezerva ÚHTS 1.500 tis. Kč
</t>
        </r>
      </text>
    </comment>
    <comment ref="G101" authorId="2" shapeId="0" xr:uid="{2D05EC78-D50E-4DB3-8F89-9F14496E55B1}">
      <text>
        <r>
          <rPr>
            <b/>
            <sz val="9"/>
            <color indexed="81"/>
            <rFont val="Tahoma"/>
            <family val="2"/>
            <charset val="238"/>
          </rPr>
          <t>Martin:</t>
        </r>
        <r>
          <rPr>
            <sz val="9"/>
            <color indexed="81"/>
            <rFont val="Tahoma"/>
            <family val="2"/>
            <charset val="238"/>
          </rPr>
          <t xml:space="preserve">
Oč se jedná?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63222</author>
  </authors>
  <commentList>
    <comment ref="K41" authorId="0" shapeId="0" xr:uid="{F4C86328-D4CE-4BBA-98CF-E3A2BCB526FE}">
      <text>
        <r>
          <rPr>
            <sz val="8"/>
            <color indexed="81"/>
            <rFont val="Calibri"/>
            <family val="2"/>
            <charset val="238"/>
            <scheme val="minor"/>
          </rPr>
          <t>25 mil.Kč - obměna infuzní techniky
 9 mil. Kč - obměna drobného majetku
10 mil. Kč - obměna optiky a nástrojů
1,5 mil. Kč - vybavení nových pracovišť HOK
2,5, mil. Kč - standardní obměna drobných přístrojů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  <author>Knápek Martin, Ing.</author>
  </authors>
  <commentList>
    <comment ref="J7" authorId="0" shapeId="0" xr:uid="{C618A08A-CBED-4AC6-9696-2E44171A5C78}">
      <text>
        <r>
          <rPr>
            <sz val="9"/>
            <color indexed="81"/>
            <rFont val="Tahoma"/>
            <family val="2"/>
            <charset val="238"/>
          </rPr>
          <t xml:space="preserve">Pouze odhad IT
</t>
        </r>
      </text>
    </comment>
    <comment ref="J14" authorId="0" shapeId="0" xr:uid="{35FAA962-696B-40D8-904F-4130DDC65118}">
      <text>
        <r>
          <rPr>
            <sz val="9"/>
            <color indexed="81"/>
            <rFont val="Tahoma"/>
            <family val="2"/>
            <charset val="238"/>
          </rPr>
          <t xml:space="preserve">pouze odhad IT
</t>
        </r>
      </text>
    </comment>
    <comment ref="J16" authorId="0" shapeId="0" xr:uid="{2851E7D7-0B8F-4BC3-839C-1CD0ABCC4E25}">
      <text>
        <r>
          <rPr>
            <sz val="9"/>
            <color indexed="81"/>
            <rFont val="Tahoma"/>
            <family val="2"/>
            <charset val="238"/>
          </rPr>
          <t xml:space="preserve">ZH: prodloužení licencí časové rozlišení 1,2 mil Kč
</t>
        </r>
      </text>
    </comment>
    <comment ref="V16" authorId="1" shapeId="0" xr:uid="{5EFF9B04-51B4-4175-B4DD-7261F9E0C1A0}">
      <text>
        <r>
          <rPr>
            <sz val="9"/>
            <color indexed="81"/>
            <rFont val="Tahoma"/>
            <family val="2"/>
            <charset val="238"/>
          </rPr>
          <t xml:space="preserve">snížení pořízení nepřevzatého software ve výši 50% </t>
        </r>
      </text>
    </comment>
    <comment ref="N17" authorId="1" shapeId="0" xr:uid="{80A821F1-7958-40C0-B21D-C3558FEBA35F}">
      <text>
        <r>
          <rPr>
            <sz val="9"/>
            <color indexed="81"/>
            <rFont val="Tahoma"/>
            <family val="2"/>
            <charset val="238"/>
          </rPr>
          <t xml:space="preserve">180 tis. ENOCH
</t>
        </r>
      </text>
    </comment>
  </commentList>
</comments>
</file>

<file path=xl/sharedStrings.xml><?xml version="1.0" encoding="utf-8"?>
<sst xmlns="http://schemas.openxmlformats.org/spreadsheetml/2006/main" count="7812" uniqueCount="2619">
  <si>
    <t>2017</t>
  </si>
  <si>
    <t>2019</t>
  </si>
  <si>
    <t>Code</t>
  </si>
  <si>
    <t>Měsíc:</t>
  </si>
  <si>
    <t>Prosinec</t>
  </si>
  <si>
    <t>Rok:</t>
  </si>
  <si>
    <t>Verze:</t>
  </si>
  <si>
    <t>Finanční plán FNOL</t>
  </si>
  <si>
    <t>Skutečnost</t>
  </si>
  <si>
    <t>HV</t>
  </si>
  <si>
    <t>A5</t>
  </si>
  <si>
    <t>A50</t>
  </si>
  <si>
    <t xml:space="preserve">        Spotřebované nákupy</t>
  </si>
  <si>
    <t>A501</t>
  </si>
  <si>
    <t xml:space="preserve">            Spotřeba materiálu</t>
  </si>
  <si>
    <t xml:space="preserve">                Převod HČ - materiál</t>
  </si>
  <si>
    <t>A50100000</t>
  </si>
  <si>
    <t xml:space="preserve">                    Převod HČ - spotřeba materiálu</t>
  </si>
  <si>
    <t xml:space="preserve">                Cenové odchylky k materiálu</t>
  </si>
  <si>
    <t xml:space="preserve">                    Cenové odchylky k materiálu</t>
  </si>
  <si>
    <t xml:space="preserve">                Biologické implantáty</t>
  </si>
  <si>
    <t xml:space="preserve">                    Biologické implantáty (sk.507)</t>
  </si>
  <si>
    <t xml:space="preserve">                PHM</t>
  </si>
  <si>
    <t xml:space="preserve">                    Automobilový benzín</t>
  </si>
  <si>
    <t xml:space="preserve">                    Motorová nafta</t>
  </si>
  <si>
    <t xml:space="preserve">                    Plyn (CNG)</t>
  </si>
  <si>
    <t xml:space="preserve">                    Oleje a mazadla</t>
  </si>
  <si>
    <t xml:space="preserve">                Léky a léčiva</t>
  </si>
  <si>
    <t xml:space="preserve">                    Léky - paušál (LEK)</t>
  </si>
  <si>
    <t xml:space="preserve">                    Léky - parenterální výživa (LEK)</t>
  </si>
  <si>
    <t xml:space="preserve">                    Léky - enter. a parent. výživa (výroba LEK-OPSL)</t>
  </si>
  <si>
    <t xml:space="preserve">                    Léky - radiofarmaka (KNM)</t>
  </si>
  <si>
    <t xml:space="preserve">                    Léky - enterální výživa (LEK)</t>
  </si>
  <si>
    <t xml:space="preserve">                    Léky - krev.deriváty ZUL (LEK)</t>
  </si>
  <si>
    <t xml:space="preserve">                    Léky - krev.deriváty ZUL (TO)</t>
  </si>
  <si>
    <t xml:space="preserve">                    Léky - RTG diagnostika ZUL (LEK)</t>
  </si>
  <si>
    <t xml:space="preserve">                    Léky - botox (LEK)</t>
  </si>
  <si>
    <t xml:space="preserve">                    Léky - hemofilici ZUL (TO)</t>
  </si>
  <si>
    <t xml:space="preserve">                    Léky - trombolýza (LEK)</t>
  </si>
  <si>
    <t xml:space="preserve">                    Léky - antibiotika (LEK)</t>
  </si>
  <si>
    <t xml:space="preserve">                    Léky - antimykotika (LEK)</t>
  </si>
  <si>
    <t xml:space="preserve">                    Léky - samoplátci (LEK)</t>
  </si>
  <si>
    <t xml:space="preserve">                    Léky - centra (LEK)</t>
  </si>
  <si>
    <t xml:space="preserve">                    Léky - dle §16 (LEK)</t>
  </si>
  <si>
    <t xml:space="preserve">                    Léky - medicinální plyny (sklad SVM)</t>
  </si>
  <si>
    <t xml:space="preserve">                    Léky - slevy (přeúčt. na 64910001)</t>
  </si>
  <si>
    <t xml:space="preserve">                Krevní přípravky</t>
  </si>
  <si>
    <t xml:space="preserve">                    Krevní přípravky</t>
  </si>
  <si>
    <t xml:space="preserve">                    Plazma</t>
  </si>
  <si>
    <t xml:space="preserve">                Zdravotnické prostředky</t>
  </si>
  <si>
    <t xml:space="preserve">                    Kardiostimulátory (sk.Z517)</t>
  </si>
  <si>
    <t xml:space="preserve">                    Kardiovertery (Z516)</t>
  </si>
  <si>
    <t xml:space="preserve">                    TEP (Z518)</t>
  </si>
  <si>
    <t xml:space="preserve">                    IUTN - kovové (Z506)</t>
  </si>
  <si>
    <t xml:space="preserve">                    IUTN - neurostimulace (Z511)</t>
  </si>
  <si>
    <t xml:space="preserve">                    IUTN - neuromodulace-DBS (Z508)</t>
  </si>
  <si>
    <t xml:space="preserve">                    Implant.dentální-samoplátci (Z526)</t>
  </si>
  <si>
    <t xml:space="preserve">                    Implant. - plastická,estetická chirurgie (Z521)</t>
  </si>
  <si>
    <t xml:space="preserve">                    IUTN - chlopně - TAVI (Z524)</t>
  </si>
  <si>
    <t xml:space="preserve">                    IUTN - ostat.nákl.PZT (Z515)</t>
  </si>
  <si>
    <t xml:space="preserve">                    Bezelektrodové kardiostimulátory (Z548)</t>
  </si>
  <si>
    <t xml:space="preserve">                    IUTN - MitraClip (Z553)</t>
  </si>
  <si>
    <t xml:space="preserve">                    Kardiostimulátory CCM (Z555)</t>
  </si>
  <si>
    <t xml:space="preserve">                    Laboratorní diagnostika-LEK (Z501)</t>
  </si>
  <si>
    <t xml:space="preserve">                    Laboratorní diagnostika-skl.ZPr (Z501)</t>
  </si>
  <si>
    <t xml:space="preserve">                    Laboratorní materiál (Z505)</t>
  </si>
  <si>
    <t xml:space="preserve">                    Obvazový materiál (Z502)</t>
  </si>
  <si>
    <t xml:space="preserve">                    ZPr - ostatní (Z503)</t>
  </si>
  <si>
    <t xml:space="preserve">                    ZPr - ZUM robot (Z512)</t>
  </si>
  <si>
    <t xml:space="preserve">                    ZPr - materiál hemodialýza (Z525)</t>
  </si>
  <si>
    <t xml:space="preserve">                    ZPr - vaky, sety (Z528)</t>
  </si>
  <si>
    <t xml:space="preserve">                    ZPr - šicí materiál (Z529)</t>
  </si>
  <si>
    <t xml:space="preserve">                    ZPr - vpichovací materiál (Z530)</t>
  </si>
  <si>
    <t xml:space="preserve">                    ZPr - šicí materiál robot (Z531)</t>
  </si>
  <si>
    <t xml:space="preserve">                    ZPr - rukavice (Z532)</t>
  </si>
  <si>
    <t xml:space="preserve">                    ZPr - čidla ICP (Z522)</t>
  </si>
  <si>
    <t xml:space="preserve">                    ZPr - porty (Z534)</t>
  </si>
  <si>
    <t xml:space="preserve">                    ZPr - katetry ostatní (Z513)</t>
  </si>
  <si>
    <t xml:space="preserve">                    ZPr - katetry ablační (Z514)</t>
  </si>
  <si>
    <t xml:space="preserve">                    ZPr - katetry diagnostické (Z535)</t>
  </si>
  <si>
    <t xml:space="preserve">                    ZPr - katetry PCI (Z536)</t>
  </si>
  <si>
    <t xml:space="preserve">                    ZPr - katetry zaváděcí (Z537)</t>
  </si>
  <si>
    <t xml:space="preserve">                    ZPr - stenty (Z538)</t>
  </si>
  <si>
    <t xml:space="preserve">                    ZPr - stenty kovové (Z539)</t>
  </si>
  <si>
    <t xml:space="preserve">                    ZPr - stenty lékové (Z540)</t>
  </si>
  <si>
    <t xml:space="preserve">                    ZPr - internzivní péče (Z542)</t>
  </si>
  <si>
    <t xml:space="preserve">                    ZPr - staplery, extraktory, endoskop.mat. (Z523)</t>
  </si>
  <si>
    <t xml:space="preserve">                    ZPr - katetry extrakční (Z543)</t>
  </si>
  <si>
    <t xml:space="preserve">                    ZPr - embolizace (Z545)</t>
  </si>
  <si>
    <t xml:space="preserve">                    ZPr - samoplátci (Z547)</t>
  </si>
  <si>
    <t xml:space="preserve">                    ZPr - katetry PICC/MIDLINE (Z554)</t>
  </si>
  <si>
    <t xml:space="preserve">                    ZPr - zubolékařský materiál (Z509)</t>
  </si>
  <si>
    <t xml:space="preserve">                    ZPr. - slevy (přeúčt. na 64910002)</t>
  </si>
  <si>
    <t xml:space="preserve">                    </t>
  </si>
  <si>
    <t xml:space="preserve">                    Podkožní monitory (Z544)</t>
  </si>
  <si>
    <t xml:space="preserve">                    Mechanické srdeční podpory (Z552)</t>
  </si>
  <si>
    <t xml:space="preserve">                Potraviny</t>
  </si>
  <si>
    <t xml:space="preserve">                    Lůžk. pacienti</t>
  </si>
  <si>
    <t xml:space="preserve">                    Lůžk. pacienti nad normu</t>
  </si>
  <si>
    <t xml:space="preserve">                    Dárci krve</t>
  </si>
  <si>
    <t xml:space="preserve">                    Výživa kojenců</t>
  </si>
  <si>
    <t xml:space="preserve">                    Dialýza - pac.strava</t>
  </si>
  <si>
    <t xml:space="preserve">                    Nápoje - horké provozy</t>
  </si>
  <si>
    <t xml:space="preserve">                    Závodní stravování</t>
  </si>
  <si>
    <t xml:space="preserve">                    Studenti SKMUP, stážisté</t>
  </si>
  <si>
    <t xml:space="preserve">                    Suroviny - studená kuchyně (stř.9505)</t>
  </si>
  <si>
    <t xml:space="preserve">                    Externí strávníci</t>
  </si>
  <si>
    <t xml:space="preserve">                Všeobecný materiál</t>
  </si>
  <si>
    <t xml:space="preserve">                    Všeobecný materiál (N524,525,P35,49,T13,V26,31,32,34,35,37,47,111,Z510)</t>
  </si>
  <si>
    <t xml:space="preserve">                    Prací a čistící prostř.,drog.zboží (sk.V41)</t>
  </si>
  <si>
    <t xml:space="preserve">                    Desinfekční prostředky (ID-ř.733-LEK)</t>
  </si>
  <si>
    <t xml:space="preserve">                    Tiskopisy a kanc.potřeby (sk.V42, 43)</t>
  </si>
  <si>
    <t xml:space="preserve">                    Údržbový materiál ZVIT (sk.B36,61,62,64)</t>
  </si>
  <si>
    <t xml:space="preserve">                    Prací prášky - prádelna (sk.V 40)</t>
  </si>
  <si>
    <t xml:space="preserve">                    Údržbový materiál ostatní - sklady (sk.T17)</t>
  </si>
  <si>
    <t xml:space="preserve">                    Spotřební materiál k PDS (potrubní pošta (sk.V22)</t>
  </si>
  <si>
    <t xml:space="preserve">                    Spotřební materiál k ZPr. (sk.V21)</t>
  </si>
  <si>
    <t xml:space="preserve">                    Lékárničky a ZM na provozech</t>
  </si>
  <si>
    <t xml:space="preserve">                    Obalový mat. pro sterilizaci (sk.V20)</t>
  </si>
  <si>
    <t xml:space="preserve">                    IT - spotřební materiál (sk. P37, 38, 48)</t>
  </si>
  <si>
    <t xml:space="preserve">                    Všeob.mat. - nábytek (V30) do 1tis.</t>
  </si>
  <si>
    <t xml:space="preserve">                    Všeob.mat. - hosp.přístr.a nářadí (V32) od 1tis do 2999,99 </t>
  </si>
  <si>
    <t xml:space="preserve">                    Všeob.mat. - kuchyň tech. (V33) od 1tis do 2999,99 </t>
  </si>
  <si>
    <t xml:space="preserve">                    Všeob.mat. - kancel.tech. (V34) od 1tis do 2999,99 </t>
  </si>
  <si>
    <t xml:space="preserve">                    Všeob.mat. - ostatní-vyjímky (V44) od 0,01 do 999,99 </t>
  </si>
  <si>
    <t xml:space="preserve">                    Technické plyny</t>
  </si>
  <si>
    <t xml:space="preserve">                    Obaly ostatní - LEK (sk.Z519)</t>
  </si>
  <si>
    <t xml:space="preserve">                Náhradní díly</t>
  </si>
  <si>
    <t xml:space="preserve">                    ND - ostatní (všeob.sklad) (sk.V38)</t>
  </si>
  <si>
    <t xml:space="preserve">                    ND - zdravot.techn.(sklad) (sk.Z39)</t>
  </si>
  <si>
    <t xml:space="preserve">                    ND - ostatní techn.(OSBTK, vč.metrologa)</t>
  </si>
  <si>
    <t xml:space="preserve">                    ND - zdravotní techn. (OSBTK, vč.metrologa)</t>
  </si>
  <si>
    <t xml:space="preserve">                    ND - výpoč. techn.(sklad) (sk.P47)</t>
  </si>
  <si>
    <t xml:space="preserve">                    ND - ZVIT (sk.B63)</t>
  </si>
  <si>
    <t xml:space="preserve">                    ND - doprava (sk.A50)</t>
  </si>
  <si>
    <t xml:space="preserve">                    ND - biomedicina (sk.M01)</t>
  </si>
  <si>
    <t xml:space="preserve">                DDHM a textil</t>
  </si>
  <si>
    <t xml:space="preserve">                    Prádlo pacientů (sk.T12)</t>
  </si>
  <si>
    <t xml:space="preserve">                    DDHM - výpočetní technika (sk.35, 49)</t>
  </si>
  <si>
    <t xml:space="preserve">                    OOPP a prádlo pro zaměstnance (sk.T14)</t>
  </si>
  <si>
    <t xml:space="preserve">                    OOPP pro pacienty a doprovod (sk.T11)</t>
  </si>
  <si>
    <t xml:space="preserve">                    Pokojový textil (sk. T15)</t>
  </si>
  <si>
    <t xml:space="preserve">                    Netkaný textil (sk.T18)</t>
  </si>
  <si>
    <t xml:space="preserve">                    Jednorázové ochranné pomůcky (sk.T18A)</t>
  </si>
  <si>
    <t xml:space="preserve">                    Jednorázový operační materiál (sk.T18B)</t>
  </si>
  <si>
    <t xml:space="preserve">                    Jednorázové hygienické potřeby (sk.T18C)</t>
  </si>
  <si>
    <t xml:space="preserve">                Knihy a časopisy</t>
  </si>
  <si>
    <t xml:space="preserve">                    Knihy a časopisy</t>
  </si>
  <si>
    <t xml:space="preserve">                Materiál z darů, FKSP</t>
  </si>
  <si>
    <t xml:space="preserve">                    Spotř.nák.- z fin. darů</t>
  </si>
  <si>
    <t xml:space="preserve">                    Věcné dary</t>
  </si>
  <si>
    <t xml:space="preserve">                Převod VČ - potraviny</t>
  </si>
  <si>
    <t xml:space="preserve">                    VČ - horké provozy</t>
  </si>
  <si>
    <t xml:space="preserve">                Převod VČ - všeob.mat.</t>
  </si>
  <si>
    <t xml:space="preserve">                    VČ - všeob. materiál</t>
  </si>
  <si>
    <t xml:space="preserve">                    VČ - drogistické zboží</t>
  </si>
  <si>
    <t xml:space="preserve">                    VĆ - desinf.prostř.LEK</t>
  </si>
  <si>
    <t xml:space="preserve">                    VČ - kancelářské potřeby</t>
  </si>
  <si>
    <t xml:space="preserve">                    VČ - údržbový materiál</t>
  </si>
  <si>
    <t xml:space="preserve">                    VČ - prášky pro prádelnu</t>
  </si>
  <si>
    <t xml:space="preserve">                Převod VČ - náhradní díly</t>
  </si>
  <si>
    <t xml:space="preserve">                    VČ - náhradní díly</t>
  </si>
  <si>
    <t xml:space="preserve">                Převod VČ - DDHM,textil</t>
  </si>
  <si>
    <t xml:space="preserve">                    VČ - DDHM</t>
  </si>
  <si>
    <t xml:space="preserve">                    VČ - OOPP</t>
  </si>
  <si>
    <t>A502</t>
  </si>
  <si>
    <t xml:space="preserve">            Spotřeba energie</t>
  </si>
  <si>
    <t xml:space="preserve">                Převod HČ - energie</t>
  </si>
  <si>
    <t xml:space="preserve">                    Převod HČ - energie</t>
  </si>
  <si>
    <t xml:space="preserve">                Spotřeba energie</t>
  </si>
  <si>
    <t xml:space="preserve">                    Elektřina</t>
  </si>
  <si>
    <t xml:space="preserve">                    Vodné, stočné</t>
  </si>
  <si>
    <t xml:space="preserve">                    Pára</t>
  </si>
  <si>
    <t xml:space="preserve">                    Plyn</t>
  </si>
  <si>
    <t xml:space="preserve">                Převod VČ - energie</t>
  </si>
  <si>
    <t xml:space="preserve">                    VČ - elektřina</t>
  </si>
  <si>
    <t xml:space="preserve">                    VČ - vodné, stočné</t>
  </si>
  <si>
    <t xml:space="preserve">                    VČ - pára</t>
  </si>
  <si>
    <t>A503</t>
  </si>
  <si>
    <t xml:space="preserve">            Spotřeba ostatních neskladovatelných dodávek</t>
  </si>
  <si>
    <t>A504</t>
  </si>
  <si>
    <t xml:space="preserve">            Prodané zboží</t>
  </si>
  <si>
    <t xml:space="preserve">                Prodané zb. FNOL</t>
  </si>
  <si>
    <t xml:space="preserve">                    Kantýna (zboží)</t>
  </si>
  <si>
    <t xml:space="preserve">                    Prodej pacientům (pomůcky pro rodičky, USB náram....)</t>
  </si>
  <si>
    <t xml:space="preserve">                    Kantýna (suroviny při výrobě)</t>
  </si>
  <si>
    <t xml:space="preserve">                Finanční bonusy</t>
  </si>
  <si>
    <t xml:space="preserve">                    Léky prodej - slevy (přeúčt. na 64910003) </t>
  </si>
  <si>
    <t xml:space="preserve">                Prodané zb. LEK</t>
  </si>
  <si>
    <t xml:space="preserve">                    Nákl. na prodej - ostatní, dopl.pacientů</t>
  </si>
  <si>
    <t xml:space="preserve">                    Nákl. na prodej - deriváty zdrav.zař.a ostatním org.</t>
  </si>
  <si>
    <t xml:space="preserve">                    Nákl. na prodej - ostatním organizacím</t>
  </si>
  <si>
    <t xml:space="preserve">                    Nákl. na prodej - recepty ZP</t>
  </si>
  <si>
    <t xml:space="preserve">                    Nákl. na prodej - PZT</t>
  </si>
  <si>
    <t xml:space="preserve">                    Nákl. na prodej - poukazy ZP </t>
  </si>
  <si>
    <t xml:space="preserve">                    Nákl. na prodej - zdravotnickým zařízením</t>
  </si>
  <si>
    <t xml:space="preserve">                    Nákl. na prodej center - ZP</t>
  </si>
  <si>
    <t xml:space="preserve">                    Nákl. na prodej PZT FONI - ZP </t>
  </si>
  <si>
    <t xml:space="preserve">                    Nákl. na prodej PZT FONI - doplatky pacientů</t>
  </si>
  <si>
    <t xml:space="preserve">                    Nákl. na prodej - neléčiva</t>
  </si>
  <si>
    <t xml:space="preserve">                    Nákl. na prodej - recepty VZP</t>
  </si>
  <si>
    <t xml:space="preserve">                    Nákl. na prodej - poukazy VZP</t>
  </si>
  <si>
    <t xml:space="preserve">                    Nákl. na prodej - enter.a parent.výživa - ostatním organizacím</t>
  </si>
  <si>
    <t xml:space="preserve">                    Nákl. na prodej center - VZP</t>
  </si>
  <si>
    <t xml:space="preserve">                    Nákl. na prodej PZT FONI - VZP</t>
  </si>
  <si>
    <t>A507</t>
  </si>
  <si>
    <t xml:space="preserve">            Aktivace</t>
  </si>
  <si>
    <t xml:space="preserve">                Aktivace oběžného majetku</t>
  </si>
  <si>
    <t xml:space="preserve">                    HČ - aktivace oběžného majetku</t>
  </si>
  <si>
    <t xml:space="preserve">                    Aktivace potravin (stř.9505)</t>
  </si>
  <si>
    <t xml:space="preserve">                    Aktivace krevní přípravky</t>
  </si>
  <si>
    <t xml:space="preserve">                    Aktivace plazma</t>
  </si>
  <si>
    <t xml:space="preserve">                Aktivace oběžného majetku - LEK</t>
  </si>
  <si>
    <t xml:space="preserve">                    Elaborace LEK (destil.voda)</t>
  </si>
  <si>
    <t xml:space="preserve">                    Taxalaborum LEK při výrobě</t>
  </si>
  <si>
    <t xml:space="preserve">                    Parenterální výživa </t>
  </si>
  <si>
    <t xml:space="preserve">                VČ - aktivace oběžného majetku</t>
  </si>
  <si>
    <t xml:space="preserve">                    VČ - aktivace oběžného majetku</t>
  </si>
  <si>
    <t>A51</t>
  </si>
  <si>
    <t xml:space="preserve">        Služby</t>
  </si>
  <si>
    <t>A511</t>
  </si>
  <si>
    <t xml:space="preserve">            Opravy a udržování</t>
  </si>
  <si>
    <t xml:space="preserve">                Převod HČ - opravy a udrž.</t>
  </si>
  <si>
    <t xml:space="preserve">                    Propočet hlavní činnosti</t>
  </si>
  <si>
    <t xml:space="preserve">                Technika a stavby</t>
  </si>
  <si>
    <t xml:space="preserve">                    Opravy zdravotnické techniky - OSBTK, vč.metrologa</t>
  </si>
  <si>
    <t xml:space="preserve">                    Opravy - Úsek inf.systémů</t>
  </si>
  <si>
    <t xml:space="preserve">                    Opravy ostatní techniky - OSBTK, vč.metrologa</t>
  </si>
  <si>
    <t xml:space="preserve">                    Opravy - správa budov</t>
  </si>
  <si>
    <t xml:space="preserve">                    Opravy - hl.energetik</t>
  </si>
  <si>
    <t xml:space="preserve">                    Opravy STA rozvodů (tel.antény) - ELSYS</t>
  </si>
  <si>
    <t xml:space="preserve">                    Opravy a údržba vozového parku</t>
  </si>
  <si>
    <t xml:space="preserve">                    Opravy - vodní hospodářství</t>
  </si>
  <si>
    <t xml:space="preserve">                    Opravy - požární techniky</t>
  </si>
  <si>
    <t xml:space="preserve">                Převod VČ - opravy a udrž.</t>
  </si>
  <si>
    <t xml:space="preserve">                    VČ - opravy techniky</t>
  </si>
  <si>
    <t xml:space="preserve">                    VČ - opravy budov</t>
  </si>
  <si>
    <t>A512</t>
  </si>
  <si>
    <t xml:space="preserve">            Cestovné</t>
  </si>
  <si>
    <t xml:space="preserve">                Cestovné zaměstnanců-tuzemské</t>
  </si>
  <si>
    <t xml:space="preserve">                    Cestovné z mezd</t>
  </si>
  <si>
    <t xml:space="preserve">                    Cestovné tuzemské - OUC</t>
  </si>
  <si>
    <t xml:space="preserve">                Cestovné pacientů</t>
  </si>
  <si>
    <t xml:space="preserve">                    Cestovné pacientů</t>
  </si>
  <si>
    <t xml:space="preserve">                Cestovné zaměstnanců-zahraniční</t>
  </si>
  <si>
    <t xml:space="preserve">                    Cestovné zahraniční - mzdy</t>
  </si>
  <si>
    <t xml:space="preserve">                    Cestovné zahraniční - OUC</t>
  </si>
  <si>
    <t xml:space="preserve">                Cestovné z darů</t>
  </si>
  <si>
    <t xml:space="preserve">                    Cestovné z darů</t>
  </si>
  <si>
    <t>A513</t>
  </si>
  <si>
    <t xml:space="preserve">            Náklady na reprezentaci (nedaň.)</t>
  </si>
  <si>
    <t xml:space="preserve">                Náklady na reprezentaci (daň.neúč.)</t>
  </si>
  <si>
    <t xml:space="preserve">                    Dodavatelsky</t>
  </si>
  <si>
    <t xml:space="preserve">                    Ve vlastní režii</t>
  </si>
  <si>
    <t>A518</t>
  </si>
  <si>
    <t xml:space="preserve">            Ostatní služby</t>
  </si>
  <si>
    <t xml:space="preserve">                Převod HČ - ostatní služby</t>
  </si>
  <si>
    <t xml:space="preserve">                    Převod HČ - ostatní služby</t>
  </si>
  <si>
    <t xml:space="preserve">                Přepravné</t>
  </si>
  <si>
    <t xml:space="preserve">                    Přepravné-lab. vzorky,...</t>
  </si>
  <si>
    <t xml:space="preserve">                Spoje</t>
  </si>
  <si>
    <t xml:space="preserve">                    Poštovné</t>
  </si>
  <si>
    <t xml:space="preserve">                    Telekom.styk</t>
  </si>
  <si>
    <t xml:space="preserve">                Nájemné</t>
  </si>
  <si>
    <t xml:space="preserve">                    Náj. software (licence atd. ...)</t>
  </si>
  <si>
    <t xml:space="preserve">                    Náj. nebytových prostor</t>
  </si>
  <si>
    <t xml:space="preserve">                    Popl. za R a TV, veř. produkce</t>
  </si>
  <si>
    <t xml:space="preserve">                    Náj. plynových lahví</t>
  </si>
  <si>
    <t xml:space="preserve">                    Náj. přístrojů a techniky</t>
  </si>
  <si>
    <t xml:space="preserve">                Projekt. práce a inž. čin.</t>
  </si>
  <si>
    <t xml:space="preserve">                    Průzkumné a projektové práce</t>
  </si>
  <si>
    <t xml:space="preserve">                Úklid, odpad, desinf., deratizace</t>
  </si>
  <si>
    <t xml:space="preserve">                    Úklid. služby - paušál</t>
  </si>
  <si>
    <t xml:space="preserve">                    Úklid. služby - více práce</t>
  </si>
  <si>
    <t xml:space="preserve">                    Popl. za DDD a ostatní služby</t>
  </si>
  <si>
    <t xml:space="preserve">                    Odpad (spalovna)</t>
  </si>
  <si>
    <t xml:space="preserve">                    Odpad (ostatní)</t>
  </si>
  <si>
    <t xml:space="preserve">                    Údržba dřevin a zeleně (EKOL)</t>
  </si>
  <si>
    <t xml:space="preserve">                    Praní prádla</t>
  </si>
  <si>
    <t xml:space="preserve">                Stravné, pohoštění - dodavatelsky</t>
  </si>
  <si>
    <t xml:space="preserve">                    Konference - pohoštění zajištěné ve vlastní režii</t>
  </si>
  <si>
    <t xml:space="preserve">                    Konference - pohoštění zajištěné dodavat.</t>
  </si>
  <si>
    <t xml:space="preserve">                    Stravné - dodavatelsky</t>
  </si>
  <si>
    <t xml:space="preserve">                Revize a smluvní servisy majetku</t>
  </si>
  <si>
    <t xml:space="preserve">                    Revize, sml.servis - energetik</t>
  </si>
  <si>
    <t xml:space="preserve">                    Revize, tech.kontroly, prev.prohl.- OSBTK</t>
  </si>
  <si>
    <t xml:space="preserve">                    Revize, sml.servis PO - OBKR</t>
  </si>
  <si>
    <t xml:space="preserve">                    Revize, sml.servis - vodní hospod.</t>
  </si>
  <si>
    <t xml:space="preserve">                    Revize, sml.servis - doprava</t>
  </si>
  <si>
    <t xml:space="preserve">                    Revize, sml.servis - VT</t>
  </si>
  <si>
    <t xml:space="preserve">                    Revize - kalibrace - metrolog</t>
  </si>
  <si>
    <t xml:space="preserve">                    Smluvní servis - OSBTK</t>
  </si>
  <si>
    <t xml:space="preserve">                    Zkoušky - zaškol.zdrav.techn.(instrukce uživatelům 268/2014 Sb)</t>
  </si>
  <si>
    <t xml:space="preserve">                Náklady za poplatky na bankovní služby</t>
  </si>
  <si>
    <t xml:space="preserve">                    Poplatky za vedení účtu</t>
  </si>
  <si>
    <t xml:space="preserve">                Náklady - projekty EU</t>
  </si>
  <si>
    <t xml:space="preserve">                    Náklady - projekty EU</t>
  </si>
  <si>
    <t xml:space="preserve">                Ostatní služby</t>
  </si>
  <si>
    <t xml:space="preserve">                    Ostatní služby - provozní</t>
  </si>
  <si>
    <t xml:space="preserve">                    Služby (ostraha)</t>
  </si>
  <si>
    <t xml:space="preserve">                    Služby poradenské (odborní poradci)</t>
  </si>
  <si>
    <t xml:space="preserve">                    Inzerce</t>
  </si>
  <si>
    <t xml:space="preserve">                    Právní zastupování</t>
  </si>
  <si>
    <t xml:space="preserve">                    Ostatní služby - zdravotní</t>
  </si>
  <si>
    <t xml:space="preserve">                    Zkoušky kvality</t>
  </si>
  <si>
    <t xml:space="preserve">                    TZ SW - OINF</t>
  </si>
  <si>
    <t xml:space="preserve">                    IT služby - ostatní systémy</t>
  </si>
  <si>
    <t xml:space="preserve">                    Organ.rozvoj (certif., akred.)</t>
  </si>
  <si>
    <t xml:space="preserve">                    Audit, ekon.porad., porad.- proj.MZČR a EU</t>
  </si>
  <si>
    <t xml:space="preserve">                    Propagace, reklama, tisk (TM)</t>
  </si>
  <si>
    <t xml:space="preserve">                    Personál.rozvoj (9071)</t>
  </si>
  <si>
    <t xml:space="preserve">                    Konference  - zajišť.dodavatelsky (ubyt., nájem, ostat.sl.)</t>
  </si>
  <si>
    <t xml:space="preserve">                    IT služby - NAVISION</t>
  </si>
  <si>
    <t xml:space="preserve">                Služby z darů, FKSP</t>
  </si>
  <si>
    <t xml:space="preserve">                    Služby z fin.darů</t>
  </si>
  <si>
    <t xml:space="preserve">                    Služby z bonusů, věc.darů</t>
  </si>
  <si>
    <t xml:space="preserve">                Převod VČ - ostatní služby</t>
  </si>
  <si>
    <t xml:space="preserve">                    VČ - spoje a telekomunikace</t>
  </si>
  <si>
    <t xml:space="preserve">                    VČ - nájemné</t>
  </si>
  <si>
    <t xml:space="preserve">                    VČ - úklid</t>
  </si>
  <si>
    <t xml:space="preserve">                    VĆ - revize</t>
  </si>
  <si>
    <t xml:space="preserve">                    VČ - ostatní služby</t>
  </si>
  <si>
    <t>A52</t>
  </si>
  <si>
    <t xml:space="preserve">        Osobní náklady</t>
  </si>
  <si>
    <t>A521</t>
  </si>
  <si>
    <t xml:space="preserve">            Mzdové náklady</t>
  </si>
  <si>
    <t xml:space="preserve">                Převod HČ - mzdové náklady</t>
  </si>
  <si>
    <t xml:space="preserve">                    Převod HČ - mzdy</t>
  </si>
  <si>
    <t xml:space="preserve">                Hrubé mzdy</t>
  </si>
  <si>
    <t xml:space="preserve">                    Hrubé mzdy</t>
  </si>
  <si>
    <t xml:space="preserve">                Placené služby</t>
  </si>
  <si>
    <t xml:space="preserve">                    Placené služby</t>
  </si>
  <si>
    <t xml:space="preserve">                Refundace</t>
  </si>
  <si>
    <t xml:space="preserve">                    Refundace</t>
  </si>
  <si>
    <t xml:space="preserve">                Půjčeno počítačem - SW VEMA</t>
  </si>
  <si>
    <t xml:space="preserve">                    Půjčeno počítačem</t>
  </si>
  <si>
    <t xml:space="preserve">                Daňové doplatky minulých let</t>
  </si>
  <si>
    <t xml:space="preserve">                    Daňové doplatky minulých let</t>
  </si>
  <si>
    <t xml:space="preserve">                OON - dohody</t>
  </si>
  <si>
    <t xml:space="preserve">                    OON - dohody</t>
  </si>
  <si>
    <t xml:space="preserve">                Odstupné</t>
  </si>
  <si>
    <t xml:space="preserve">                    Odstupné</t>
  </si>
  <si>
    <t xml:space="preserve">                Náhrada mzdy po dobu dočas.prac.neschopnosti</t>
  </si>
  <si>
    <t xml:space="preserve">                    Náhrada mzdy po dobu dočas.prac.neschop.-hraz.org.</t>
  </si>
  <si>
    <t xml:space="preserve">                Peněžité dary z FKSP</t>
  </si>
  <si>
    <t xml:space="preserve">                    Peněžité dary z FKSP</t>
  </si>
  <si>
    <t xml:space="preserve">                Převod VČ - mzdové náklady</t>
  </si>
  <si>
    <t xml:space="preserve">                    VČ - mzdové náklady</t>
  </si>
  <si>
    <t xml:space="preserve">                    VČ - OON</t>
  </si>
  <si>
    <t xml:space="preserve">                    VČ - odstupné</t>
  </si>
  <si>
    <t xml:space="preserve">                    VČ - náhr.mzdy po dobu dočas.prac.neschop.</t>
  </si>
  <si>
    <t>A522</t>
  </si>
  <si>
    <t xml:space="preserve">            Příjmy společníků a členů družstva ze závISMlé činnosti</t>
  </si>
  <si>
    <t>A523</t>
  </si>
  <si>
    <t xml:space="preserve">            Odměny členům orgánů společnosti a družstva</t>
  </si>
  <si>
    <t>A524</t>
  </si>
  <si>
    <t xml:space="preserve">            Zákonné sociální pojištění</t>
  </si>
  <si>
    <t xml:space="preserve">                Převod HČ - zákonné pojištění</t>
  </si>
  <si>
    <t xml:space="preserve">                    Převod HČ - zákon. poj.</t>
  </si>
  <si>
    <t xml:space="preserve">                Zdravotní pojištění organizace</t>
  </si>
  <si>
    <t xml:space="preserve">                    Zdravotní poj. organizace</t>
  </si>
  <si>
    <t xml:space="preserve">                Sociální pojištění organizace</t>
  </si>
  <si>
    <t xml:space="preserve">                    Sociální poj. organizace</t>
  </si>
  <si>
    <t xml:space="preserve">                Refundace - zdravotní pojištění</t>
  </si>
  <si>
    <t xml:space="preserve">                    Refundace - zdravotní pojištění</t>
  </si>
  <si>
    <t xml:space="preserve">                Refundace - sociální pojištění</t>
  </si>
  <si>
    <t xml:space="preserve">                    Refundace - sociální pojištění</t>
  </si>
  <si>
    <t xml:space="preserve">                Převod VČ - zákonné pojištění</t>
  </si>
  <si>
    <t xml:space="preserve">                    VČ - zdravotní pojištění</t>
  </si>
  <si>
    <t xml:space="preserve">                    VČ - sociální pojištění</t>
  </si>
  <si>
    <t>A525</t>
  </si>
  <si>
    <t xml:space="preserve">            Ostatní sociální pojištění</t>
  </si>
  <si>
    <t xml:space="preserve">                Jiné sociální pojištění</t>
  </si>
  <si>
    <t xml:space="preserve">                    Pojištění zaměstnanců (čtvrtletně)</t>
  </si>
  <si>
    <t>A526</t>
  </si>
  <si>
    <t xml:space="preserve">            Sociální náklady individuálního podnikatele</t>
  </si>
  <si>
    <t>A527</t>
  </si>
  <si>
    <t xml:space="preserve">            Zákonné sociální dávky</t>
  </si>
  <si>
    <t xml:space="preserve">                Převod HČ - zák.sociál.nákl.</t>
  </si>
  <si>
    <t xml:space="preserve">                    Převod HČ - zák.sociál.nákl.</t>
  </si>
  <si>
    <t xml:space="preserve">                Zákonné sociální náklady</t>
  </si>
  <si>
    <t xml:space="preserve">                    FKSP - jednotný příděl</t>
  </si>
  <si>
    <t xml:space="preserve">                Převod VČ - zák.sociál.nákl.</t>
  </si>
  <si>
    <t xml:space="preserve">                    VČ - zák.sociál.nákl.(FKSP)</t>
  </si>
  <si>
    <t>A528</t>
  </si>
  <si>
    <t xml:space="preserve">            Ostatní sociální náklady</t>
  </si>
  <si>
    <t xml:space="preserve">                Jiné sociální náklady</t>
  </si>
  <si>
    <t xml:space="preserve">                    Zvyšování kvalifikace - daň.neúčinné (vyplac.přes pokladnu)</t>
  </si>
  <si>
    <t>A53</t>
  </si>
  <si>
    <t xml:space="preserve">        Daně a poplatky</t>
  </si>
  <si>
    <t>A531</t>
  </si>
  <si>
    <t xml:space="preserve">            Daň silniční</t>
  </si>
  <si>
    <t xml:space="preserve">                Daň silniční</t>
  </si>
  <si>
    <t xml:space="preserve">                    Daň silniční</t>
  </si>
  <si>
    <t>A532</t>
  </si>
  <si>
    <t xml:space="preserve">            Daň z nemovitostí</t>
  </si>
  <si>
    <t xml:space="preserve">                Daň z nemovitostí</t>
  </si>
  <si>
    <t xml:space="preserve">                    Daň z nemovitostí</t>
  </si>
  <si>
    <t>A538</t>
  </si>
  <si>
    <t xml:space="preserve">            Ostatní daně a poplatky</t>
  </si>
  <si>
    <t xml:space="preserve">                Poplatky</t>
  </si>
  <si>
    <t xml:space="preserve">                    Ubytovací poplatek (odvod SM OI)</t>
  </si>
  <si>
    <t xml:space="preserve">                    Soudní poplatky</t>
  </si>
  <si>
    <t xml:space="preserve">                    Správní poplatky</t>
  </si>
  <si>
    <t xml:space="preserve">                    Poplatky za užívání dálnic a rychl.silnic, mýtné</t>
  </si>
  <si>
    <t xml:space="preserve">                    Ostatní poplatky</t>
  </si>
  <si>
    <t>A54</t>
  </si>
  <si>
    <t xml:space="preserve">        Jiné provozní náklady</t>
  </si>
  <si>
    <t>A541</t>
  </si>
  <si>
    <t xml:space="preserve">            Zůstatková cena prodaného nehm.a hm.dlouh.majetku</t>
  </si>
  <si>
    <t xml:space="preserve">                Úroky z prodlení</t>
  </si>
  <si>
    <t xml:space="preserve">                    Úroky z prodlení</t>
  </si>
  <si>
    <t xml:space="preserve">                Sankce za překročení regul.léčiv a PZT</t>
  </si>
  <si>
    <t xml:space="preserve">                    Preskripce L a PZT - min. rok</t>
  </si>
  <si>
    <t>A542</t>
  </si>
  <si>
    <t xml:space="preserve">            Prodaný materiál</t>
  </si>
  <si>
    <t xml:space="preserve">                Jiné sankce - daň.účinné</t>
  </si>
  <si>
    <t xml:space="preserve">                Jiné pokuty a penále(dle dokladů)</t>
  </si>
  <si>
    <t xml:space="preserve">                    Pok.za pozdní odvody daní</t>
  </si>
  <si>
    <t xml:space="preserve">                    Pok.za poruš.léčebných předpisů</t>
  </si>
  <si>
    <t xml:space="preserve">                    Ostatní pokuty a penále</t>
  </si>
  <si>
    <t xml:space="preserve">                    Pok.za pozdní hlášení stát.org.(celní zpr., policie...)</t>
  </si>
  <si>
    <t xml:space="preserve">                    Pok.za poruš.zák. o veřejných zakázkách</t>
  </si>
  <si>
    <t xml:space="preserve">                    Penále z neopráv.použ.prostř.SR</t>
  </si>
  <si>
    <t>A543</t>
  </si>
  <si>
    <t xml:space="preserve">            Dary</t>
  </si>
  <si>
    <t>A544</t>
  </si>
  <si>
    <t xml:space="preserve">            Smluvní pokuty a úroky z prodlení</t>
  </si>
  <si>
    <t xml:space="preserve">                Prodané krevní přípravky</t>
  </si>
  <si>
    <t xml:space="preserve">                    Prodané krevní přípravky</t>
  </si>
  <si>
    <t xml:space="preserve">                    Prodaná plazma</t>
  </si>
  <si>
    <t xml:space="preserve">                    Prodané krevní deriváty</t>
  </si>
  <si>
    <t>A545</t>
  </si>
  <si>
    <t xml:space="preserve">            Ostatní pokuty a penále</t>
  </si>
  <si>
    <t>A546</t>
  </si>
  <si>
    <t xml:space="preserve">            OdpISM pohledávky</t>
  </si>
  <si>
    <t>A547</t>
  </si>
  <si>
    <t xml:space="preserve">            Mimořádné provozní náklady</t>
  </si>
  <si>
    <t xml:space="preserve">                Manka a škody </t>
  </si>
  <si>
    <t xml:space="preserve">                    Zcizení a poškoz. maj.FNOL(jednání v NK)</t>
  </si>
  <si>
    <t xml:space="preserve">                Zmařený dlouhodobý majetek</t>
  </si>
  <si>
    <t xml:space="preserve">                    Zmařený dlohodobý majetek</t>
  </si>
  <si>
    <t xml:space="preserve">                Manka a škody nad normu(daň.neúčinné)</t>
  </si>
  <si>
    <t xml:space="preserve">                    Manka nad normu(daň.neúčinné)</t>
  </si>
  <si>
    <t>A548</t>
  </si>
  <si>
    <t xml:space="preserve">            Ostatní provozní náklady</t>
  </si>
  <si>
    <t>A549</t>
  </si>
  <si>
    <t xml:space="preserve">            Manka a škody</t>
  </si>
  <si>
    <t xml:space="preserve">                Převod HČ - ostatní náklady</t>
  </si>
  <si>
    <t xml:space="preserve">                    Převod HČ - ostatní náklady z činnosti</t>
  </si>
  <si>
    <t xml:space="preserve">                Technické zhodnocení budov</t>
  </si>
  <si>
    <t xml:space="preserve">                    TZ budov - OHE</t>
  </si>
  <si>
    <t xml:space="preserve">                    TZ budov - OSB</t>
  </si>
  <si>
    <t xml:space="preserve">                Odpočet DPH koeficientem</t>
  </si>
  <si>
    <t xml:space="preserve">                    Odpočet DPH koeficientem</t>
  </si>
  <si>
    <t xml:space="preserve">                    Dorovnání DPH k hlášení</t>
  </si>
  <si>
    <t xml:space="preserve">                    Vyrovovnání koeficientu DPH - roční</t>
  </si>
  <si>
    <t xml:space="preserve">                Odvody do SR z minulých let</t>
  </si>
  <si>
    <t xml:space="preserve">                    Odvody do SR z minulých let</t>
  </si>
  <si>
    <t xml:space="preserve">                Ostatní náklady z činnosti</t>
  </si>
  <si>
    <t xml:space="preserve">                    Ostatní náklady z činnosti</t>
  </si>
  <si>
    <t xml:space="preserve">                    Práce výrobní povahy(výroba klíčů,tabulek)</t>
  </si>
  <si>
    <t xml:space="preserve">                    Vyřazení expirovaných léků</t>
  </si>
  <si>
    <t xml:space="preserve">                    Refundace věcných nákladů</t>
  </si>
  <si>
    <t xml:space="preserve">                    Ostatní(byty ÚMO)</t>
  </si>
  <si>
    <t xml:space="preserve">                    Školení, kongresové poplatky tuzemské - lékaři</t>
  </si>
  <si>
    <t xml:space="preserve">                    Školení, kongresové poplatky tuzemské - ost.zdrav.pracov.</t>
  </si>
  <si>
    <t xml:space="preserve">                    Školení - nezdrav.pracov.</t>
  </si>
  <si>
    <t xml:space="preserve">                    Registrační poplatky - kongresy zahraniční</t>
  </si>
  <si>
    <t xml:space="preserve">                    Potraviny - ztratné do normy při zpracování</t>
  </si>
  <si>
    <t xml:space="preserve">                    Přecenění léků pod nákupní cenu (lékárna)</t>
  </si>
  <si>
    <t xml:space="preserve">                    Mimosoudní narovnání</t>
  </si>
  <si>
    <t xml:space="preserve">                    Organizace plesu</t>
  </si>
  <si>
    <t xml:space="preserve">                    Rozdíly z inventarizace</t>
  </si>
  <si>
    <t xml:space="preserve">                Pojištění (sml.418/2006)</t>
  </si>
  <si>
    <t xml:space="preserve">                    Pojištění - majetek (A 9001)</t>
  </si>
  <si>
    <t xml:space="preserve">                    Pojištění - odpověd.za škodu (B 9001)</t>
  </si>
  <si>
    <t xml:space="preserve">                    Pojištění - vozidla(zák., havar.) (C,D 9402)</t>
  </si>
  <si>
    <t xml:space="preserve">                    Pojištění - cestovní </t>
  </si>
  <si>
    <t xml:space="preserve">                Náklady účtované od UP</t>
  </si>
  <si>
    <t xml:space="preserve">                    Náklady účtované od UP</t>
  </si>
  <si>
    <t xml:space="preserve">                Odměny dárcům</t>
  </si>
  <si>
    <t xml:space="preserve">                    Odměny dárcům</t>
  </si>
  <si>
    <t xml:space="preserve">                Ostatní výplaty fyzickým osobám</t>
  </si>
  <si>
    <t xml:space="preserve">                    Odškod.pacientů - renty</t>
  </si>
  <si>
    <t xml:space="preserve">                Ostatní výplaty fyzickým osobám(OPMČ)</t>
  </si>
  <si>
    <t xml:space="preserve">                    Odškodn.-náhr.mzdy zam.(OPMČ)</t>
  </si>
  <si>
    <t xml:space="preserve">                Předpis - KDF za služby</t>
  </si>
  <si>
    <t xml:space="preserve">                    Předpis KDF - služby</t>
  </si>
  <si>
    <t xml:space="preserve">                Školení - ost.zaměst.THP (pouze OPMČ)</t>
  </si>
  <si>
    <t xml:space="preserve">                    Školení - ost.zaměst.THP(pouze OPMČ)</t>
  </si>
  <si>
    <t xml:space="preserve">                Školení, kongres.popl.tuzemské - lékaři (pouze OPMČ)</t>
  </si>
  <si>
    <t xml:space="preserve">                    Školení, kongres.popl.tuzemské - lékaři (pouze OPMČ)</t>
  </si>
  <si>
    <t xml:space="preserve">                Školení, kongres.popl.tuzemské - ostatní zdrav.prac.(pouze OPMČ)</t>
  </si>
  <si>
    <t xml:space="preserve">                    Školení, kongres.popl.tuzemské - ostatní zdrav.prac.(pouze OPMČ)</t>
  </si>
  <si>
    <t xml:space="preserve">                Předpis - KDF za stálé platby</t>
  </si>
  <si>
    <t xml:space="preserve">                    Předpis KDF - stálé platby</t>
  </si>
  <si>
    <t xml:space="preserve">                Registrační poplatky - kongresy zahraniční (pouze OPMČ)</t>
  </si>
  <si>
    <t xml:space="preserve">                    Registrační poplatky - kongresy zahraniční (pouze OPMČ)</t>
  </si>
  <si>
    <t xml:space="preserve">                Jiné náklady z darů</t>
  </si>
  <si>
    <t xml:space="preserve">                    Jiné náklady z fin.darů</t>
  </si>
  <si>
    <t xml:space="preserve">                Převod VČ - ostatní nákl.z činnosti</t>
  </si>
  <si>
    <t xml:space="preserve">                    VČ - ostatní náklady</t>
  </si>
  <si>
    <t xml:space="preserve">                    VČ - technické zhodnocení</t>
  </si>
  <si>
    <t xml:space="preserve">                    VČ - výpl.fyz.osobám-PaM</t>
  </si>
  <si>
    <t xml:space="preserve">                Přípěvky a poplatky(daň.neúčinné)</t>
  </si>
  <si>
    <t xml:space="preserve">                    Členské příspěvky a poplatky</t>
  </si>
  <si>
    <t xml:space="preserve">                    Zaměstnanecký benefit</t>
  </si>
  <si>
    <t>A55</t>
  </si>
  <si>
    <t xml:space="preserve">        Odpisy,rezervy a opravné položky provoz.nákladů</t>
  </si>
  <si>
    <t>A551</t>
  </si>
  <si>
    <t xml:space="preserve">            Odpisy dlouhodobého nehm. a hm. majetku</t>
  </si>
  <si>
    <t xml:space="preserve">                Převod HČ - odpisy DM</t>
  </si>
  <si>
    <t xml:space="preserve">                    Převod HČ - odpisy DM</t>
  </si>
  <si>
    <t xml:space="preserve">                Odpisy DM</t>
  </si>
  <si>
    <t xml:space="preserve">                    Odpisy DNM z odpisů</t>
  </si>
  <si>
    <t xml:space="preserve">                    Odpisy DHM - budovy z odpisů</t>
  </si>
  <si>
    <t xml:space="preserve">                    Odpisy DHM - zdravot.techn. z odpisů</t>
  </si>
  <si>
    <t xml:space="preserve">                    Odpisy DHM - ostatní z odpisů</t>
  </si>
  <si>
    <t xml:space="preserve">                    Odpisy DHM - budovy z dotací</t>
  </si>
  <si>
    <t xml:space="preserve">                    Odpisy DHM - zdravot.techn. z dotací</t>
  </si>
  <si>
    <t xml:space="preserve">                    Odpisy DHM - ostatní z dotací</t>
  </si>
  <si>
    <t xml:space="preserve">                ZC vyřazeného DM</t>
  </si>
  <si>
    <t xml:space="preserve">                    ZC DHM - zdravot.techn. z odpisů</t>
  </si>
  <si>
    <t xml:space="preserve">                    ZC DHM - ostatní z odpisů</t>
  </si>
  <si>
    <t xml:space="preserve">                    ZC DHM - budovy z odpisů</t>
  </si>
  <si>
    <t xml:space="preserve">                    ZC DHM - zdravot.techn. z dotací</t>
  </si>
  <si>
    <t xml:space="preserve">                    ZC DHM - ostatní z dotací</t>
  </si>
  <si>
    <t xml:space="preserve">                Převod VČ - odpisy DM</t>
  </si>
  <si>
    <t xml:space="preserve">                    Převod VČ - odpisy DM</t>
  </si>
  <si>
    <t xml:space="preserve">                    Převod VČ - ZC vyřaz. DM</t>
  </si>
  <si>
    <t>A552</t>
  </si>
  <si>
    <t xml:space="preserve">            Tvorba a zúčtování rezerv podle zvláštních právních předpISMů</t>
  </si>
  <si>
    <t>A554</t>
  </si>
  <si>
    <t xml:space="preserve">            Tvorba a zúčtování ostatních rezerv</t>
  </si>
  <si>
    <t>A555</t>
  </si>
  <si>
    <t xml:space="preserve">            Tvorba a zúčtování komplexních nákladů příštích období</t>
  </si>
  <si>
    <t>A557</t>
  </si>
  <si>
    <t xml:space="preserve">            Zúčtování oprávky k opravné pol. k nabytému majet.</t>
  </si>
  <si>
    <t xml:space="preserve">                Náklady z vyřazených pohledávek(daň.účinné)</t>
  </si>
  <si>
    <t xml:space="preserve">                    Náklady z vyřaz.pohled.pro nedobytnost(daň.účinné)</t>
  </si>
  <si>
    <t xml:space="preserve">                Náklady z vyřazených pohledávek(daň.neúčinné)</t>
  </si>
  <si>
    <t xml:space="preserve">                    Náklady z vyřaz.pohled.pro nedobytnost (daň.neúčinné)</t>
  </si>
  <si>
    <t>A558</t>
  </si>
  <si>
    <t xml:space="preserve">            Tvorba zákonných opravných položek</t>
  </si>
  <si>
    <t xml:space="preserve">                Náklady z drobného dlouhodobého majetku</t>
  </si>
  <si>
    <t xml:space="preserve">                    Převod HČ - náklady z drobného dlouhodobého majetku</t>
  </si>
  <si>
    <t xml:space="preserve">                DDHM zdravotnický a laboratorní</t>
  </si>
  <si>
    <t xml:space="preserve">                    DDHM - zdravotnické přístroje (sk.N_525)</t>
  </si>
  <si>
    <t xml:space="preserve">                    DDHM - zdravotnické nástroje (sk.Z_515)</t>
  </si>
  <si>
    <t xml:space="preserve">                    DDHM - zdravotnický a laboratorní (věcné dary)</t>
  </si>
  <si>
    <t xml:space="preserve">                    DDHM - zdravotnický a laboratorní (finanční dary)</t>
  </si>
  <si>
    <t xml:space="preserve">                DDHM - provozní</t>
  </si>
  <si>
    <t xml:space="preserve">                    DDHM - kuchyňské zařízení a nádobí (sk.V_26)</t>
  </si>
  <si>
    <t xml:space="preserve">                    DDHM - ostatní provozní technika (sk.V_35)</t>
  </si>
  <si>
    <t xml:space="preserve">                    DDHM - kacelářská technika (sk.V_37)</t>
  </si>
  <si>
    <t xml:space="preserve">                    DDHM - přepravní pouzdra pro PDS ( Potrubní poštu (sk.V_48)</t>
  </si>
  <si>
    <t xml:space="preserve">                    DDHM - OOPP pro pacienty a doprovod (sk.T_13)</t>
  </si>
  <si>
    <t xml:space="preserve">                    DDHM - provozní (věcné dary)</t>
  </si>
  <si>
    <t xml:space="preserve">                    DDHM - provozní (finanční dary)</t>
  </si>
  <si>
    <t xml:space="preserve">                DDHM - výpočetní technika</t>
  </si>
  <si>
    <t xml:space="preserve">                    DDHM - výpočetní technika (sk.P_35)</t>
  </si>
  <si>
    <t xml:space="preserve">                    DDHM - telefony (sk.P_49)</t>
  </si>
  <si>
    <t xml:space="preserve">                    DDHM - výpočetní technika (vecné dary)</t>
  </si>
  <si>
    <t xml:space="preserve">                    DDHM - výpočetní technika (finanční dary)</t>
  </si>
  <si>
    <t xml:space="preserve">                DDHM - inventář</t>
  </si>
  <si>
    <t xml:space="preserve">                    DDHM - ostatní (sk.T_19)</t>
  </si>
  <si>
    <t xml:space="preserve">                    DDHM - nábytek (sk.V_31)</t>
  </si>
  <si>
    <t xml:space="preserve">                    DDHM - inventář (věcné dary)</t>
  </si>
  <si>
    <t xml:space="preserve">                    DDHM - inventář (finanční dary)</t>
  </si>
  <si>
    <t xml:space="preserve">                DDHM ostatní </t>
  </si>
  <si>
    <t xml:space="preserve">                    DDHM - ostatní, razítka (sk.V_47, V_112)</t>
  </si>
  <si>
    <t xml:space="preserve">                    DDHM ostatní (finanční dary) </t>
  </si>
  <si>
    <t xml:space="preserve">                    DDHM ostatní (věcné dary) </t>
  </si>
  <si>
    <t xml:space="preserve">                DDNM software </t>
  </si>
  <si>
    <t xml:space="preserve">                    DDNM - software (sk.P_38) </t>
  </si>
  <si>
    <t xml:space="preserve">                    DDNM software (věcné dary)</t>
  </si>
  <si>
    <t xml:space="preserve">                    DDNM software (finanční dary)</t>
  </si>
  <si>
    <t xml:space="preserve">                Převod VČ - náklady z drobného dlouhodobého majetku</t>
  </si>
  <si>
    <t>A559</t>
  </si>
  <si>
    <t xml:space="preserve">            Opravné položky</t>
  </si>
  <si>
    <t>A553</t>
  </si>
  <si>
    <t xml:space="preserve">            </t>
  </si>
  <si>
    <t xml:space="preserve">                Prodaný dlohoudobý hmotný majetek</t>
  </si>
  <si>
    <t xml:space="preserve">                    Prodaný dlohoudobý hmotný majetek</t>
  </si>
  <si>
    <t>A556</t>
  </si>
  <si>
    <t xml:space="preserve">                Tvorba a zúčtování oprav.pol.(daň.účinné)</t>
  </si>
  <si>
    <t xml:space="preserve">                    Tvorba a zúčtování oprav.pol.(daň.účinné)</t>
  </si>
  <si>
    <t xml:space="preserve">                Tvorba a zúčtování oprav.pol.(daň.neučinné)</t>
  </si>
  <si>
    <t xml:space="preserve">                    Tvorba a zúčtování oprav.pol.(daň.neúčinné)</t>
  </si>
  <si>
    <t>A56</t>
  </si>
  <si>
    <t xml:space="preserve">        Finanční náklady</t>
  </si>
  <si>
    <t>A561</t>
  </si>
  <si>
    <t xml:space="preserve">            Prodané cenné papíry a podíly</t>
  </si>
  <si>
    <t>A562</t>
  </si>
  <si>
    <t xml:space="preserve">            Úroky</t>
  </si>
  <si>
    <t xml:space="preserve">                Úroky</t>
  </si>
  <si>
    <t xml:space="preserve">                    Úroky - ostatní</t>
  </si>
  <si>
    <t>A563</t>
  </si>
  <si>
    <t xml:space="preserve">            Kursové ztráty</t>
  </si>
  <si>
    <t xml:space="preserve">                Převod HČ - kurzové ztráty</t>
  </si>
  <si>
    <t xml:space="preserve">                    Převod HČ - kurzové ztráty</t>
  </si>
  <si>
    <t xml:space="preserve">                Kurzové ztráty</t>
  </si>
  <si>
    <t xml:space="preserve">                    Kurzové ztráty</t>
  </si>
  <si>
    <t xml:space="preserve">                Převod VŠ - kurzové ztáty</t>
  </si>
  <si>
    <t xml:space="preserve">                    Převod VČ - kurzové ztráty</t>
  </si>
  <si>
    <t>A564</t>
  </si>
  <si>
    <t xml:space="preserve">            Náklady z přecenění majetkových cenných papírů</t>
  </si>
  <si>
    <t xml:space="preserve">                Náklady z přecenění reálnou hodnotou</t>
  </si>
  <si>
    <t xml:space="preserve">                    Náklady z přecenění reál.hodnotou maj.určeného k podeji podle § 64</t>
  </si>
  <si>
    <t>A566</t>
  </si>
  <si>
    <t xml:space="preserve">            Náklady z finančního majetku</t>
  </si>
  <si>
    <t>A567</t>
  </si>
  <si>
    <t xml:space="preserve">            Náklady z derivátových operací</t>
  </si>
  <si>
    <t>A568</t>
  </si>
  <si>
    <t xml:space="preserve">            Ostatní finanční náklady</t>
  </si>
  <si>
    <t>A569</t>
  </si>
  <si>
    <t xml:space="preserve">            Manka a škody na finančním majetku</t>
  </si>
  <si>
    <t>A57</t>
  </si>
  <si>
    <t xml:space="preserve">        Rezervy a opravné položky ve finanční oblasti </t>
  </si>
  <si>
    <t>A574</t>
  </si>
  <si>
    <t xml:space="preserve">            Tvorba a zúčtování finančních rezerv</t>
  </si>
  <si>
    <t>A579</t>
  </si>
  <si>
    <t xml:space="preserve">            Tvorba a zúčtování opravných položek ve finanční činnosti</t>
  </si>
  <si>
    <t>A58</t>
  </si>
  <si>
    <t xml:space="preserve">        Mimořádné náklady</t>
  </si>
  <si>
    <t>A581</t>
  </si>
  <si>
    <t xml:space="preserve">            Změna stavu nedokončené výroby</t>
  </si>
  <si>
    <t>A582</t>
  </si>
  <si>
    <t xml:space="preserve">            Změna stavu polotovarů vlastní výroby</t>
  </si>
  <si>
    <t>A583</t>
  </si>
  <si>
    <t xml:space="preserve">            Změna stavu výrobků</t>
  </si>
  <si>
    <t>A584</t>
  </si>
  <si>
    <t xml:space="preserve">            Změna stavu zvířat</t>
  </si>
  <si>
    <t>A585</t>
  </si>
  <si>
    <t xml:space="preserve">            Aktivace materiálu a zboží</t>
  </si>
  <si>
    <t>A586</t>
  </si>
  <si>
    <t xml:space="preserve">            Aktivace vnitropodnikových služeb</t>
  </si>
  <si>
    <t>A587</t>
  </si>
  <si>
    <t xml:space="preserve">            Aktivace dlouhodobého nehmotného majetku</t>
  </si>
  <si>
    <t>A588</t>
  </si>
  <si>
    <t xml:space="preserve">            Ostatní mimořádné náklady</t>
  </si>
  <si>
    <t>A589</t>
  </si>
  <si>
    <t xml:space="preserve">            Tvorba a zúčtování opravných položek v mimořádné činnosti</t>
  </si>
  <si>
    <t>A59</t>
  </si>
  <si>
    <t xml:space="preserve">        Daně z příjmů a převodové účty</t>
  </si>
  <si>
    <t>A591</t>
  </si>
  <si>
    <t xml:space="preserve">            Daň z příjmů z běžné činnosti - splatná</t>
  </si>
  <si>
    <t xml:space="preserve">                Daň z příjmu</t>
  </si>
  <si>
    <t xml:space="preserve">                    Daň z příjmu - vyúčtování (min.období)</t>
  </si>
  <si>
    <t xml:space="preserve">                    Daň z příjmu - zrušení dohadné položky (min.období)</t>
  </si>
  <si>
    <t>A592</t>
  </si>
  <si>
    <t xml:space="preserve">            Daň z příjmů - odložená</t>
  </si>
  <si>
    <t>A593</t>
  </si>
  <si>
    <t xml:space="preserve">            Daň z příjmů z mimořádné činnosti - splatná</t>
  </si>
  <si>
    <t>A594</t>
  </si>
  <si>
    <t xml:space="preserve">            Daň z příjmů z mimořádné činnosti - odložená</t>
  </si>
  <si>
    <t>A595</t>
  </si>
  <si>
    <t xml:space="preserve">            Dodatečné odvody daně z příjmu</t>
  </si>
  <si>
    <t>A596</t>
  </si>
  <si>
    <t xml:space="preserve">            Převod podílu na výsledku hospodaření společníkům</t>
  </si>
  <si>
    <t>A597</t>
  </si>
  <si>
    <t xml:space="preserve">            Převod provozních nákladů</t>
  </si>
  <si>
    <t>A598</t>
  </si>
  <si>
    <t xml:space="preserve">            Prevod finančních nákladů</t>
  </si>
  <si>
    <t>A599</t>
  </si>
  <si>
    <t xml:space="preserve">            Tvorba a zúčtování rezervy na daň z příjmů</t>
  </si>
  <si>
    <t>A6</t>
  </si>
  <si>
    <t xml:space="preserve">    Výnosy</t>
  </si>
  <si>
    <t>A60</t>
  </si>
  <si>
    <t xml:space="preserve">        Tržby za vlastní výkony a zboží</t>
  </si>
  <si>
    <t>A601</t>
  </si>
  <si>
    <t xml:space="preserve">            Tržby za vlastní výrobky</t>
  </si>
  <si>
    <t>A602</t>
  </si>
  <si>
    <t xml:space="preserve">            Tržby z prodeje služeb</t>
  </si>
  <si>
    <t xml:space="preserve">                Zdravotní služby samoplátcům a právnickým osobám</t>
  </si>
  <si>
    <t xml:space="preserve">                    Zdr.služby - právn.osoby</t>
  </si>
  <si>
    <t xml:space="preserve">                    Zdr.služby - státní orgány</t>
  </si>
  <si>
    <t xml:space="preserve">                    Zdr.služby - nadstandart</t>
  </si>
  <si>
    <t xml:space="preserve">                    Zdr.služby - doprovod (otec u porodu)</t>
  </si>
  <si>
    <t xml:space="preserve">                    Zdr.služby - cizinci</t>
  </si>
  <si>
    <t xml:space="preserve">                    Zdr.služby - tuzemci (plastika atd. ...)</t>
  </si>
  <si>
    <t xml:space="preserve">                Zdr. služby - výkony ředění cytos.  LEK</t>
  </si>
  <si>
    <t xml:space="preserve">                    Výkony ředění cytostat. - ZP</t>
  </si>
  <si>
    <t xml:space="preserve">                    Dispenzační poplatek lékárny</t>
  </si>
  <si>
    <t xml:space="preserve">                    Výkony ředění cytostat. - VZP</t>
  </si>
  <si>
    <t xml:space="preserve">                Zdr. výkony - VZP sledov.položky    OZPI</t>
  </si>
  <si>
    <t xml:space="preserve">                    Výkony + materiál - VZP na výkon</t>
  </si>
  <si>
    <t xml:space="preserve">                    Výkony stomatologie</t>
  </si>
  <si>
    <t xml:space="preserve">                    Výkony a ZUM IVF</t>
  </si>
  <si>
    <t xml:space="preserve">                    Výkony mamografie</t>
  </si>
  <si>
    <t xml:space="preserve">                    Výkony pojištěncům EHS</t>
  </si>
  <si>
    <t xml:space="preserve">                    Výkony za cizince (mimo EHS)</t>
  </si>
  <si>
    <t xml:space="preserve">                Zdr. výkony - ost. ZP sled.položky  OZPI</t>
  </si>
  <si>
    <t xml:space="preserve">                    Výkony + mater. - ZP ma výkon</t>
  </si>
  <si>
    <t xml:space="preserve">                    Výkony pojišť.EHS, výkony za cizinci (mimo EHS)</t>
  </si>
  <si>
    <t xml:space="preserve">                    Výkony + mater. - ZP na výkon</t>
  </si>
  <si>
    <t xml:space="preserve">                    Výkony hemodialýzy</t>
  </si>
  <si>
    <t xml:space="preserve">                    Výkony robotického centra</t>
  </si>
  <si>
    <t xml:space="preserve">                    PET/CT (pouze rozp.)</t>
  </si>
  <si>
    <t xml:space="preserve">                Přepravné pacientů vykázané ZP     OZPI</t>
  </si>
  <si>
    <t xml:space="preserve">                    Přepravné pacientů - VZP</t>
  </si>
  <si>
    <t xml:space="preserve">                    Přepravné pacientů - ZP</t>
  </si>
  <si>
    <t xml:space="preserve">                Odhad zdr. výkonů                   OUC-OZPI</t>
  </si>
  <si>
    <t xml:space="preserve">                    Vyrov. odh.výk.za zdr.péči ZP (z minulých let)</t>
  </si>
  <si>
    <t xml:space="preserve">                    Odhad výk.za zdr.péči ZP (aktuální rok)</t>
  </si>
  <si>
    <t xml:space="preserve">                Odmítnutí vykázané péče     OZPI</t>
  </si>
  <si>
    <t xml:space="preserve">                    Odmítnutí vykázané péče, receptů, poukázek PZt, Tr - ZP</t>
  </si>
  <si>
    <t xml:space="preserve">                    Odmítnutí vykázané péče, receptů, poukázek PZt, Tr - VZP</t>
  </si>
  <si>
    <t xml:space="preserve">                Agregované výkony                   OZPI</t>
  </si>
  <si>
    <t xml:space="preserve">                    Agreg. výk. ostat. nemocnic</t>
  </si>
  <si>
    <t xml:space="preserve">                Fakturace ZP - běžný rok (paušál)   OZPI</t>
  </si>
  <si>
    <t xml:space="preserve">                    Tržby ZP za zdrav.péči - paušál</t>
  </si>
  <si>
    <t xml:space="preserve">                    Tržby ZP za léky v centrech - paušál</t>
  </si>
  <si>
    <t xml:space="preserve">                    Tržby VZP za zdrav.péči - paušál</t>
  </si>
  <si>
    <t xml:space="preserve">                    Tržby od VZP za dopravu - paušál</t>
  </si>
  <si>
    <t xml:space="preserve">                    Tržby VZP za léky v centrech - paušál</t>
  </si>
  <si>
    <t xml:space="preserve">                Dorovnání péče ZP - min.let         OZPI</t>
  </si>
  <si>
    <t xml:space="preserve">                    Tržby ZP za zdrav.péči - dorovnání min.let</t>
  </si>
  <si>
    <t xml:space="preserve">                    Tržby VZP za zdrav.péči - dorovnání min.let</t>
  </si>
  <si>
    <t>A604</t>
  </si>
  <si>
    <t xml:space="preserve">            Tržby za zboží</t>
  </si>
  <si>
    <t xml:space="preserve">                Prodej zboží - FNOL</t>
  </si>
  <si>
    <t xml:space="preserve">                    Kantýna - prodej        </t>
  </si>
  <si>
    <t xml:space="preserve">                Výnosy z prodaného zboží LEK        </t>
  </si>
  <si>
    <t xml:space="preserve">                    Prodej - doplatky pacientů</t>
  </si>
  <si>
    <t xml:space="preserve">                    Prodej derivátů zdrav.zařízením a ostatním organizacím</t>
  </si>
  <si>
    <t xml:space="preserve">                    Prodej ostatním org.</t>
  </si>
  <si>
    <t xml:space="preserve">                    Recepty pro ZP</t>
  </si>
  <si>
    <t xml:space="preserve">                    Prodej ZPr za hotové - výdejna PZT</t>
  </si>
  <si>
    <t xml:space="preserve">                    Poukazy pro ZP</t>
  </si>
  <si>
    <t xml:space="preserve">                    Prodej léků zdravotnickým zařízením</t>
  </si>
  <si>
    <t xml:space="preserve">                    Prodej center - ZP</t>
  </si>
  <si>
    <t xml:space="preserve">                    Prodej PZT FONI - ZP</t>
  </si>
  <si>
    <t xml:space="preserve">                    Prodej PZT FONI - doplatky pacientů</t>
  </si>
  <si>
    <t xml:space="preserve">                    Prodej neléčiv</t>
  </si>
  <si>
    <t xml:space="preserve">                    Recepty pro VZP</t>
  </si>
  <si>
    <t xml:space="preserve">                    Poukazy pro VZP</t>
  </si>
  <si>
    <t xml:space="preserve">                    Prodej - enter.a parent.výživa - ostatním organizacím</t>
  </si>
  <si>
    <t xml:space="preserve">                    Prodej center - recepty VZP</t>
  </si>
  <si>
    <t xml:space="preserve">                    Prodej PZT FONI - VZP</t>
  </si>
  <si>
    <t>A603</t>
  </si>
  <si>
    <t xml:space="preserve">            Tržby z nájmů</t>
  </si>
  <si>
    <t xml:space="preserve">                Výnosy z pronájmu </t>
  </si>
  <si>
    <t xml:space="preserve">                    Nájem ubytoven (9601)</t>
  </si>
  <si>
    <t xml:space="preserve">                    Nájem bytů (9655)</t>
  </si>
  <si>
    <t xml:space="preserve">                    Nájem nebytových prostor (99xx)</t>
  </si>
  <si>
    <t xml:space="preserve">                    Nájem DM - použití vybavení FNOL (pitevny)</t>
  </si>
  <si>
    <t xml:space="preserve">                    Nájem pozemků</t>
  </si>
  <si>
    <t xml:space="preserve">                    Nájem garáží a ploch k parkování  (KVF pokl.)</t>
  </si>
  <si>
    <t>A609</t>
  </si>
  <si>
    <t xml:space="preserve">            Regulační poplatky</t>
  </si>
  <si>
    <t xml:space="preserve">                Jiné výnosy z vlastních výkonů - regulační poplatky</t>
  </si>
  <si>
    <t xml:space="preserve">                    Regulační poplatky</t>
  </si>
  <si>
    <t>A61</t>
  </si>
  <si>
    <t xml:space="preserve">        změna stavu výrobků</t>
  </si>
  <si>
    <t>A613</t>
  </si>
  <si>
    <t xml:space="preserve">            změna stavu výrobků</t>
  </si>
  <si>
    <t>A62</t>
  </si>
  <si>
    <t xml:space="preserve">        Aktivace</t>
  </si>
  <si>
    <t>A621</t>
  </si>
  <si>
    <t>A622</t>
  </si>
  <si>
    <t>A623</t>
  </si>
  <si>
    <t>A624</t>
  </si>
  <si>
    <t xml:space="preserve">            Aktivace dlouhodobého hmotného majetku</t>
  </si>
  <si>
    <t>A64</t>
  </si>
  <si>
    <t xml:space="preserve">        Jiné provozní výnosy</t>
  </si>
  <si>
    <t>A641</t>
  </si>
  <si>
    <t xml:space="preserve">            Tržby z prodeje dlouhodobého nehm. a hm. majetku</t>
  </si>
  <si>
    <t xml:space="preserve">                Smluvní pokuty a úroky z prodlení</t>
  </si>
  <si>
    <t xml:space="preserve">                    Penále z prodl. - ostatní</t>
  </si>
  <si>
    <t xml:space="preserve">                    Penále z prodl. - LEK</t>
  </si>
  <si>
    <t xml:space="preserve">                    Úrok z prodlení - soudní rozh.</t>
  </si>
  <si>
    <t>A642</t>
  </si>
  <si>
    <t xml:space="preserve">            Tržby z prodeje materiálu</t>
  </si>
  <si>
    <t>A643</t>
  </si>
  <si>
    <t xml:space="preserve">                Výnosy z vyřazených pohledávek</t>
  </si>
  <si>
    <t xml:space="preserve">                    Výnosy z vyřazených pohledávek - ostatní</t>
  </si>
  <si>
    <t>A644</t>
  </si>
  <si>
    <t xml:space="preserve">                Výnosy z prodeje materiálu   </t>
  </si>
  <si>
    <t xml:space="preserve">                    Prodej krevních výrobků TO</t>
  </si>
  <si>
    <t xml:space="preserve">                    Prodej plazmy TO</t>
  </si>
  <si>
    <t xml:space="preserve">                    Prodej krevních derivátů TO</t>
  </si>
  <si>
    <t xml:space="preserve">                    Sběr</t>
  </si>
  <si>
    <t xml:space="preserve">                    Prodej materiálu</t>
  </si>
  <si>
    <t>A646</t>
  </si>
  <si>
    <t xml:space="preserve">            Výnosy z odepsaných pohledávek</t>
  </si>
  <si>
    <t xml:space="preserve">                Výnosy z prodeje DHM (kromě pozemků)</t>
  </si>
  <si>
    <t xml:space="preserve">                    Výnosy z prodeje dopravních prostředků</t>
  </si>
  <si>
    <t>A648</t>
  </si>
  <si>
    <t xml:space="preserve">            Ostatní provozní výnosy - ostatní</t>
  </si>
  <si>
    <t xml:space="preserve">                Čerpání RF</t>
  </si>
  <si>
    <t xml:space="preserve">                    Čerpání RF - k úhradě sankcí</t>
  </si>
  <si>
    <t xml:space="preserve">                Čerpání RF - čerpání fin. darů</t>
  </si>
  <si>
    <t xml:space="preserve">                    Čerpání RF - čerpání finančních darů</t>
  </si>
  <si>
    <t xml:space="preserve">                Čerpání FKSP</t>
  </si>
  <si>
    <t xml:space="preserve">                    Čerpání z FKSP - peněžité dary</t>
  </si>
  <si>
    <t xml:space="preserve">                    Čerpání FKSP - příspěvek na stravu</t>
  </si>
  <si>
    <t xml:space="preserve">                    Čerpání FKSP - kulturní a tělovýchovné akce</t>
  </si>
  <si>
    <t>A649</t>
  </si>
  <si>
    <t xml:space="preserve">            Mimořádné provozní výnosy</t>
  </si>
  <si>
    <t xml:space="preserve">                Nárok na náhradu za manka a škody </t>
  </si>
  <si>
    <t xml:space="preserve">                    Nárok na náhradu za manka a škody </t>
  </si>
  <si>
    <t xml:space="preserve">                Ostatní výnosy z činnosti</t>
  </si>
  <si>
    <t xml:space="preserve">                    Rozdíly v zaokrouhlení</t>
  </si>
  <si>
    <t xml:space="preserve">                    Ostatní výnosy</t>
  </si>
  <si>
    <t xml:space="preserve">                    Smlouva o účelově vázané úplatě</t>
  </si>
  <si>
    <t xml:space="preserve">                    Náhrady od pojišť. (majetek)</t>
  </si>
  <si>
    <t xml:space="preserve">                    Náhrady od pojišť. (zaměstn.)</t>
  </si>
  <si>
    <t xml:space="preserve">                    Příspěvek na stravu UP Ol.(vedl.čin.)</t>
  </si>
  <si>
    <t xml:space="preserve">                    Bonifikace</t>
  </si>
  <si>
    <t xml:space="preserve">                    Náhrady od pojišť. (mimosoudní narovnání)</t>
  </si>
  <si>
    <t xml:space="preserve">                Bonusy</t>
  </si>
  <si>
    <t xml:space="preserve">                    Bonusy finanční - za léky (pro kliniky)</t>
  </si>
  <si>
    <t xml:space="preserve">                    Bonusy finanční - za ZPr (pro kliniky)</t>
  </si>
  <si>
    <t xml:space="preserve">                    Bonusy finanční - za léky (prodej)</t>
  </si>
  <si>
    <t xml:space="preserve">                    Bonusy finanční - ostatní</t>
  </si>
  <si>
    <t xml:space="preserve">                Ostatní služby - mimo zdrav.výkony  FAKTURACE</t>
  </si>
  <si>
    <t xml:space="preserve">                    Vstupenky (ples FNOL stř.9010)</t>
  </si>
  <si>
    <t xml:space="preserve">                    Poskytnutí práva na umístění reklamy (stř.9950)</t>
  </si>
  <si>
    <t xml:space="preserve">                    Poskytnutí práva na umístění reklamy - konfer.,ples (market.akce)</t>
  </si>
  <si>
    <t xml:space="preserve">                    Strava - zaměstnanci</t>
  </si>
  <si>
    <t xml:space="preserve">                    Strava - studenti</t>
  </si>
  <si>
    <t xml:space="preserve">                    Zpracování AT</t>
  </si>
  <si>
    <t xml:space="preserve">                    Výkony etické komise</t>
  </si>
  <si>
    <t xml:space="preserve">                    Klinické hodnocení - tuzemci (81xx,9003,9028)</t>
  </si>
  <si>
    <t xml:space="preserve">                    Klinické hodnocení - EU (81xx,9003,9028)</t>
  </si>
  <si>
    <t xml:space="preserve">                    Klinické hodnocení - 3.země (81xx,9003,9028)</t>
  </si>
  <si>
    <t xml:space="preserve">                    Telekom.služby, soukr. hovory</t>
  </si>
  <si>
    <t xml:space="preserve">                    Znalecké posudky - Znaleký ústav</t>
  </si>
  <si>
    <t xml:space="preserve">                    Areál FNOL - poplatky za vjezd (lístky)</t>
  </si>
  <si>
    <t xml:space="preserve">                    Areál FNOL - poplatky za vjezd (karty zaměstnanců)</t>
  </si>
  <si>
    <t xml:space="preserve">                    Teoretické ústavy - poplatky za vjezd</t>
  </si>
  <si>
    <t xml:space="preserve">                    Ostatní provoz.sl.-hl.čin.</t>
  </si>
  <si>
    <t xml:space="preserve">                    Poštovné, balné za odeslání</t>
  </si>
  <si>
    <t xml:space="preserve">                    Areál FNOL - poplatky za vjezd (dodavatelé)</t>
  </si>
  <si>
    <t xml:space="preserve">                    Školení, stáže, odb. semináře, konference</t>
  </si>
  <si>
    <t xml:space="preserve">                    Foto při UZ a ost. služby</t>
  </si>
  <si>
    <t xml:space="preserve">                    Strava - cizí</t>
  </si>
  <si>
    <t xml:space="preserve">                    Ost. provozní služby (praní prádla, doprava)</t>
  </si>
  <si>
    <t xml:space="preserve">                    SOS - poplatky za vjezd do areálu FNOL</t>
  </si>
  <si>
    <t xml:space="preserve">                Služby k pronájmu          FAKTURACE</t>
  </si>
  <si>
    <t xml:space="preserve">                    Plyn k pronájmům</t>
  </si>
  <si>
    <t xml:space="preserve">                    Elektřina k pronájmům</t>
  </si>
  <si>
    <t xml:space="preserve">                    Teplo k pronájmům</t>
  </si>
  <si>
    <t xml:space="preserve">                    Vodné, stočné k pronájmům</t>
  </si>
  <si>
    <t xml:space="preserve">                    Energetické služby k pronájmům</t>
  </si>
  <si>
    <t xml:space="preserve">                    Ost. služby k pronájmům</t>
  </si>
  <si>
    <t xml:space="preserve">                Věcné dary</t>
  </si>
  <si>
    <t>A65</t>
  </si>
  <si>
    <t xml:space="preserve">        Zúčtování rezerv</t>
  </si>
  <si>
    <t>A652</t>
  </si>
  <si>
    <t xml:space="preserve">            Zúčtování zákonných rezerv</t>
  </si>
  <si>
    <t>A654</t>
  </si>
  <si>
    <t xml:space="preserve">            Zúčtování ostatních rezerv</t>
  </si>
  <si>
    <t>A66</t>
  </si>
  <si>
    <t xml:space="preserve">        Finanční výnosy</t>
  </si>
  <si>
    <t>A661</t>
  </si>
  <si>
    <t xml:space="preserve">            Tržby z prodeje cenných papírů a podílů</t>
  </si>
  <si>
    <t>A662</t>
  </si>
  <si>
    <t xml:space="preserve">                Úroky - ostatní</t>
  </si>
  <si>
    <t xml:space="preserve">                    Úroky z běžného účtu</t>
  </si>
  <si>
    <t>A663</t>
  </si>
  <si>
    <t xml:space="preserve">            Kursové zisky</t>
  </si>
  <si>
    <t xml:space="preserve">                Kurzové zisky</t>
  </si>
  <si>
    <t xml:space="preserve">                    Kurzové zisky</t>
  </si>
  <si>
    <t>A664</t>
  </si>
  <si>
    <t xml:space="preserve">            Výnosy z přecenění majetkových cenných papírů</t>
  </si>
  <si>
    <t xml:space="preserve">                Výnosy z přecenění reálnou hodnotou - ostatní</t>
  </si>
  <si>
    <t xml:space="preserve">                    Výnosy z přecenění reál.hodnotou maj.určeného k prodeji podle § 64</t>
  </si>
  <si>
    <t>A665</t>
  </si>
  <si>
    <t xml:space="preserve">            Výnosy z dlouhodobého finančního majetku</t>
  </si>
  <si>
    <t>A666</t>
  </si>
  <si>
    <t xml:space="preserve">            Výnosy z krátkodobého  finančního majetku</t>
  </si>
  <si>
    <t>A667</t>
  </si>
  <si>
    <t xml:space="preserve">            Výnosy z derivátových operací</t>
  </si>
  <si>
    <t>A668</t>
  </si>
  <si>
    <t xml:space="preserve">            Ostatní finanční výnosy</t>
  </si>
  <si>
    <t>A669</t>
  </si>
  <si>
    <t xml:space="preserve">            Přijaté finanční dary neúčelové</t>
  </si>
  <si>
    <t>A67</t>
  </si>
  <si>
    <t>A674</t>
  </si>
  <si>
    <t xml:space="preserve">            Zúčtování rezerv</t>
  </si>
  <si>
    <t>A671</t>
  </si>
  <si>
    <t xml:space="preserve">            Transfery</t>
  </si>
  <si>
    <t xml:space="preserve">                Nein.dotace, příspěvky, granty od zřizovatele</t>
  </si>
  <si>
    <t xml:space="preserve">                    Transfery MZ - ostatní</t>
  </si>
  <si>
    <t xml:space="preserve">                    Transfery MZ na VaV - věcné náklady</t>
  </si>
  <si>
    <t xml:space="preserve">                    Transfery MZ na VaV - mzdové náklady</t>
  </si>
  <si>
    <t xml:space="preserve">                    Transfery MZ na DDM</t>
  </si>
  <si>
    <t xml:space="preserve">                    Transfery MZ - RIV (institucionální podpora)</t>
  </si>
  <si>
    <t xml:space="preserve">                    Transfery MZ - MEDEVAC (humanitární program)</t>
  </si>
  <si>
    <t xml:space="preserve">                Neinv.dot., přísp., granty od jiného poskytovatele</t>
  </si>
  <si>
    <t xml:space="preserve">                    Transfery jiného poskytovatele - VaV věcné</t>
  </si>
  <si>
    <t xml:space="preserve">                    Transfery jiného poskytovatele - VaV mzdové</t>
  </si>
  <si>
    <t xml:space="preserve">                Výnosy k úč.403 06 (k úč.551 odpisy) - finanční dary</t>
  </si>
  <si>
    <t xml:space="preserve">                    Výnosy k úč.403 06 (k úč.551 odpisy) - finanční dary</t>
  </si>
  <si>
    <t>A68</t>
  </si>
  <si>
    <t xml:space="preserve">        Mimořádné výnosy</t>
  </si>
  <si>
    <t>A681</t>
  </si>
  <si>
    <t xml:space="preserve">            Výnosy ze změny metody</t>
  </si>
  <si>
    <t>A684</t>
  </si>
  <si>
    <t>A688</t>
  </si>
  <si>
    <t xml:space="preserve">            Ostatní mimořádné výnosy</t>
  </si>
  <si>
    <t>A689</t>
  </si>
  <si>
    <t xml:space="preserve">            Zúčtování opravných položek</t>
  </si>
  <si>
    <t>A69</t>
  </si>
  <si>
    <t xml:space="preserve">        Převodové účty</t>
  </si>
  <si>
    <t>A697</t>
  </si>
  <si>
    <t xml:space="preserve">            Převod provozních výnosů</t>
  </si>
  <si>
    <t>A698</t>
  </si>
  <si>
    <t xml:space="preserve">            Převod finančních výnosů</t>
  </si>
  <si>
    <t>A699</t>
  </si>
  <si>
    <t>SR</t>
  </si>
  <si>
    <t>GAR</t>
  </si>
  <si>
    <t>NÁM</t>
  </si>
  <si>
    <t>EN</t>
  </si>
  <si>
    <t>OEC</t>
  </si>
  <si>
    <t>DOPR</t>
  </si>
  <si>
    <t>K</t>
  </si>
  <si>
    <t>S</t>
  </si>
  <si>
    <t>KNM</t>
  </si>
  <si>
    <t>OBN</t>
  </si>
  <si>
    <t>H</t>
  </si>
  <si>
    <t>TO</t>
  </si>
  <si>
    <t>A501 09 000</t>
  </si>
  <si>
    <t>A501 10</t>
  </si>
  <si>
    <t>A501 10 001</t>
  </si>
  <si>
    <t>A501 12</t>
  </si>
  <si>
    <t>A501 12 001</t>
  </si>
  <si>
    <t>A501 12 002</t>
  </si>
  <si>
    <t>A501 12 004</t>
  </si>
  <si>
    <t>A501 12 003</t>
  </si>
  <si>
    <t>A501 13</t>
  </si>
  <si>
    <t>A501 13 001</t>
  </si>
  <si>
    <t>A501 13 002</t>
  </si>
  <si>
    <t>A501 13 004</t>
  </si>
  <si>
    <t>A501 13 005</t>
  </si>
  <si>
    <t>A501 13 006</t>
  </si>
  <si>
    <t>A501 13 007</t>
  </si>
  <si>
    <t>A501 13 008</t>
  </si>
  <si>
    <t>A501 13 009</t>
  </si>
  <si>
    <t>A501 13 010</t>
  </si>
  <si>
    <t>A501 13 011</t>
  </si>
  <si>
    <t>A501 13 012</t>
  </si>
  <si>
    <t>A501 13 013</t>
  </si>
  <si>
    <t>A501 13 014</t>
  </si>
  <si>
    <t>A501 13 015</t>
  </si>
  <si>
    <t>A501 13 016</t>
  </si>
  <si>
    <t>A501 13 017</t>
  </si>
  <si>
    <t>A501 13 190</t>
  </si>
  <si>
    <t>A501 13 300</t>
  </si>
  <si>
    <t>A501 14</t>
  </si>
  <si>
    <t>A501 14 002</t>
  </si>
  <si>
    <t>A501 14 003</t>
  </si>
  <si>
    <t>A501 15</t>
  </si>
  <si>
    <t>A501 15 001</t>
  </si>
  <si>
    <t>A501 15 002</t>
  </si>
  <si>
    <t>A501 15 003</t>
  </si>
  <si>
    <t>A501 15 004</t>
  </si>
  <si>
    <t>A501 15 005</t>
  </si>
  <si>
    <t>A501 15 006</t>
  </si>
  <si>
    <t>A501 15 007</t>
  </si>
  <si>
    <t>A501 15 008</t>
  </si>
  <si>
    <t>A501 15 009</t>
  </si>
  <si>
    <t>A501 15 011</t>
  </si>
  <si>
    <t>A501 15 013</t>
  </si>
  <si>
    <t>A501 15 015</t>
  </si>
  <si>
    <t>A501 15 016</t>
  </si>
  <si>
    <t>A501 15 020</t>
  </si>
  <si>
    <t>A501 15 021</t>
  </si>
  <si>
    <t>A501 15 040</t>
  </si>
  <si>
    <t>A501 15 050</t>
  </si>
  <si>
    <t>A501 15 060</t>
  </si>
  <si>
    <t>A501 15 062</t>
  </si>
  <si>
    <t>A501 15 063</t>
  </si>
  <si>
    <t>A501 15 064</t>
  </si>
  <si>
    <t>A501 15 065</t>
  </si>
  <si>
    <t>A501 15 066</t>
  </si>
  <si>
    <t>A501 15 067</t>
  </si>
  <si>
    <t>A501 15 068</t>
  </si>
  <si>
    <t>A501 15 069</t>
  </si>
  <si>
    <t>A501 15 070</t>
  </si>
  <si>
    <t>A501 15 071</t>
  </si>
  <si>
    <t>A501 15 072</t>
  </si>
  <si>
    <t>A501 15 073</t>
  </si>
  <si>
    <t>A501 15 074</t>
  </si>
  <si>
    <t>A501 15 075</t>
  </si>
  <si>
    <t>A501 15 076</t>
  </si>
  <si>
    <t>A501 15 077</t>
  </si>
  <si>
    <t>A501 15 079</t>
  </si>
  <si>
    <t>A501 15 080</t>
  </si>
  <si>
    <t>A501 15 082</t>
  </si>
  <si>
    <t>A501 15 083</t>
  </si>
  <si>
    <t>A501 15 085</t>
  </si>
  <si>
    <t>A501 15 089</t>
  </si>
  <si>
    <t>A501 15 090</t>
  </si>
  <si>
    <t>A501 15 300</t>
  </si>
  <si>
    <t>A501 15 010</t>
  </si>
  <si>
    <t>A501 15 078</t>
  </si>
  <si>
    <t>A501 15 084</t>
  </si>
  <si>
    <t>A501 15 012</t>
  </si>
  <si>
    <t>A501 15 014</t>
  </si>
  <si>
    <t>A501 16</t>
  </si>
  <si>
    <t>A501 16 001</t>
  </si>
  <si>
    <t>A501 16 002</t>
  </si>
  <si>
    <t>A501 16 003</t>
  </si>
  <si>
    <t>A501 16 004</t>
  </si>
  <si>
    <t>A501 16 006</t>
  </si>
  <si>
    <t>A501 16 010</t>
  </si>
  <si>
    <t>A501 16 402</t>
  </si>
  <si>
    <t>A501 16 403</t>
  </si>
  <si>
    <t>A501 16 404</t>
  </si>
  <si>
    <t>A501 16 502</t>
  </si>
  <si>
    <t>STRAV</t>
  </si>
  <si>
    <t>A501 17</t>
  </si>
  <si>
    <t>A501 17 001</t>
  </si>
  <si>
    <t>A501 17 002</t>
  </si>
  <si>
    <t>A501 17 003</t>
  </si>
  <si>
    <t>A501 17 004</t>
  </si>
  <si>
    <t>A501 17 005</t>
  </si>
  <si>
    <t>A501 17 006</t>
  </si>
  <si>
    <t>A501 17 007</t>
  </si>
  <si>
    <t>A501 17 008</t>
  </si>
  <si>
    <t>A501 17 009</t>
  </si>
  <si>
    <t>A501 17 010</t>
  </si>
  <si>
    <t>A501 17 011</t>
  </si>
  <si>
    <t>A501 17 015</t>
  </si>
  <si>
    <t>A501 17 020</t>
  </si>
  <si>
    <t>A501 17 021</t>
  </si>
  <si>
    <t>A501 17 022</t>
  </si>
  <si>
    <t>A501 17 023</t>
  </si>
  <si>
    <t>A501 17 024</t>
  </si>
  <si>
    <t>A501 17 190</t>
  </si>
  <si>
    <t>A501 17 025</t>
  </si>
  <si>
    <t>A501 17 201</t>
  </si>
  <si>
    <t>PRAD</t>
  </si>
  <si>
    <t>VSMT</t>
  </si>
  <si>
    <t>A501 18</t>
  </si>
  <si>
    <t>A501 18 001</t>
  </si>
  <si>
    <t>A501 18 002</t>
  </si>
  <si>
    <t>A501 18 003</t>
  </si>
  <si>
    <t>A501 18 004</t>
  </si>
  <si>
    <t>A501 18 005</t>
  </si>
  <si>
    <t>A501 18 006</t>
  </si>
  <si>
    <t>A501 18 007</t>
  </si>
  <si>
    <t>A501 18 009</t>
  </si>
  <si>
    <t>A501 18 008</t>
  </si>
  <si>
    <t>A501 19</t>
  </si>
  <si>
    <t>A501 19 002</t>
  </si>
  <si>
    <t>A501 19 004</t>
  </si>
  <si>
    <t>A501 19 077</t>
  </si>
  <si>
    <t>A501 19 090</t>
  </si>
  <si>
    <t>OOU</t>
  </si>
  <si>
    <t>A501 19 092</t>
  </si>
  <si>
    <t>A501 19 099</t>
  </si>
  <si>
    <t>A501 19 100</t>
  </si>
  <si>
    <t>A501 19 101</t>
  </si>
  <si>
    <t>A501 19 102</t>
  </si>
  <si>
    <t>A501 60</t>
  </si>
  <si>
    <t>A501 60 002</t>
  </si>
  <si>
    <t>A501 80</t>
  </si>
  <si>
    <t>A501 80 000</t>
  </si>
  <si>
    <t>A501 80 001</t>
  </si>
  <si>
    <t>A501 80 003</t>
  </si>
  <si>
    <t>A501 86 510</t>
  </si>
  <si>
    <t>A501 87</t>
  </si>
  <si>
    <t>A501 87 501</t>
  </si>
  <si>
    <t>A501 87 502</t>
  </si>
  <si>
    <t>A501 87 503</t>
  </si>
  <si>
    <t>A501 87 504</t>
  </si>
  <si>
    <t>A501 87 505</t>
  </si>
  <si>
    <t>A501 87 506</t>
  </si>
  <si>
    <t>A501 88</t>
  </si>
  <si>
    <t>A501 88 501</t>
  </si>
  <si>
    <t>A501 89</t>
  </si>
  <si>
    <t>A501 89 501</t>
  </si>
  <si>
    <t>A501 89 577</t>
  </si>
  <si>
    <t>A502 00</t>
  </si>
  <si>
    <t>A502 00 000</t>
  </si>
  <si>
    <t>A502 10</t>
  </si>
  <si>
    <t>A502 10 071</t>
  </si>
  <si>
    <t>A502 10 072</t>
  </si>
  <si>
    <t>A502 10 073</t>
  </si>
  <si>
    <t>A502 10 075</t>
  </si>
  <si>
    <t>A502 90</t>
  </si>
  <si>
    <t>A502 90 571</t>
  </si>
  <si>
    <t>A502 90 572</t>
  </si>
  <si>
    <t>A502 90 573</t>
  </si>
  <si>
    <t>OE</t>
  </si>
  <si>
    <t>A504 01</t>
  </si>
  <si>
    <t>A504 01 001</t>
  </si>
  <si>
    <t>A504 01 002</t>
  </si>
  <si>
    <t>A504 01 003</t>
  </si>
  <si>
    <t>A504 90</t>
  </si>
  <si>
    <t>A504 90 360</t>
  </si>
  <si>
    <t>A504 95</t>
  </si>
  <si>
    <t>A504 95 360</t>
  </si>
  <si>
    <t>A504 95 361</t>
  </si>
  <si>
    <t>A504 95 363</t>
  </si>
  <si>
    <t>A504 95 365</t>
  </si>
  <si>
    <t>A504 95 366</t>
  </si>
  <si>
    <t>A504 95 368</t>
  </si>
  <si>
    <t>A504 95 370</t>
  </si>
  <si>
    <t>A504 95 377</t>
  </si>
  <si>
    <t>A504 95 383</t>
  </si>
  <si>
    <t>A504 95 384</t>
  </si>
  <si>
    <t>A504 95 560</t>
  </si>
  <si>
    <t>A504 95 374</t>
  </si>
  <si>
    <t>A504 95 364</t>
  </si>
  <si>
    <t>A504 95 367</t>
  </si>
  <si>
    <t>A504 95 371</t>
  </si>
  <si>
    <t>A504 95 376</t>
  </si>
  <si>
    <t>A504 95 382</t>
  </si>
  <si>
    <t>LEK</t>
  </si>
  <si>
    <t>A507 00</t>
  </si>
  <si>
    <t>A507 00 000</t>
  </si>
  <si>
    <t>A507 00 002</t>
  </si>
  <si>
    <t>A507 00 031</t>
  </si>
  <si>
    <t>A507 00 032</t>
  </si>
  <si>
    <t>A507 11</t>
  </si>
  <si>
    <t>A507 11 001</t>
  </si>
  <si>
    <t>A507 11 002</t>
  </si>
  <si>
    <t>A507 11 003</t>
  </si>
  <si>
    <t>A507 90</t>
  </si>
  <si>
    <t>A507 90 511</t>
  </si>
  <si>
    <t>A511 00</t>
  </si>
  <si>
    <t>A511 00 000</t>
  </si>
  <si>
    <t>A511 02</t>
  </si>
  <si>
    <t>A511 02 021</t>
  </si>
  <si>
    <t>A511 02 022</t>
  </si>
  <si>
    <t>A511 02 023</t>
  </si>
  <si>
    <t>A511 02 024</t>
  </si>
  <si>
    <t>A511 02 025</t>
  </si>
  <si>
    <t>A511 02 026</t>
  </si>
  <si>
    <t>A511 02 027</t>
  </si>
  <si>
    <t>A511 02 029</t>
  </si>
  <si>
    <t>A511 02 030</t>
  </si>
  <si>
    <t>A511 02 028</t>
  </si>
  <si>
    <t>A511 02 032</t>
  </si>
  <si>
    <t>A511 02 033</t>
  </si>
  <si>
    <t>A511 02 034</t>
  </si>
  <si>
    <t>A511 90</t>
  </si>
  <si>
    <t>A511 90 502</t>
  </si>
  <si>
    <t>A511 90 501</t>
  </si>
  <si>
    <t>A512 01</t>
  </si>
  <si>
    <t>A512 01 000</t>
  </si>
  <si>
    <t>A512 01 001</t>
  </si>
  <si>
    <t>A512 02</t>
  </si>
  <si>
    <t>A512 02 001</t>
  </si>
  <si>
    <t>A512 03</t>
  </si>
  <si>
    <t>A512 03 000</t>
  </si>
  <si>
    <t>A512 03 001</t>
  </si>
  <si>
    <t>A512 80</t>
  </si>
  <si>
    <t>A512 80 000</t>
  </si>
  <si>
    <t>A513 99</t>
  </si>
  <si>
    <t>A513 99 001</t>
  </si>
  <si>
    <t>A513 99 002</t>
  </si>
  <si>
    <t>A518 00</t>
  </si>
  <si>
    <t>A518 00 000</t>
  </si>
  <si>
    <t>A518 01</t>
  </si>
  <si>
    <t>A518 01 000</t>
  </si>
  <si>
    <t>A518 02</t>
  </si>
  <si>
    <t>A518 02 001</t>
  </si>
  <si>
    <t>A518 02 003</t>
  </si>
  <si>
    <t>A518 02 002</t>
  </si>
  <si>
    <t>A518 04</t>
  </si>
  <si>
    <t>A518 04 001</t>
  </si>
  <si>
    <t>A518 04 002</t>
  </si>
  <si>
    <t>A518 04 004</t>
  </si>
  <si>
    <t>A518 04 005</t>
  </si>
  <si>
    <t>A518 04 003</t>
  </si>
  <si>
    <t>A518 05</t>
  </si>
  <si>
    <t>A518 05 001</t>
  </si>
  <si>
    <t>A518 06</t>
  </si>
  <si>
    <t>A518 06 001</t>
  </si>
  <si>
    <t>A518 06 002</t>
  </si>
  <si>
    <t>A518 06 004</t>
  </si>
  <si>
    <t>A518 06 005</t>
  </si>
  <si>
    <t>A518 06 006</t>
  </si>
  <si>
    <t>A518 06 011</t>
  </si>
  <si>
    <t>A518 06 007</t>
  </si>
  <si>
    <t>A518 06 003</t>
  </si>
  <si>
    <t>A518 07</t>
  </si>
  <si>
    <t>A518 07 002</t>
  </si>
  <si>
    <t>A518 07 012</t>
  </si>
  <si>
    <t>A518 07 411</t>
  </si>
  <si>
    <t>A518 08</t>
  </si>
  <si>
    <t>A518 08 007</t>
  </si>
  <si>
    <t>A518 08 008</t>
  </si>
  <si>
    <t>A518 08 009</t>
  </si>
  <si>
    <t>A518 08 010</t>
  </si>
  <si>
    <t>A518 08 011</t>
  </si>
  <si>
    <t>A518 08 012</t>
  </si>
  <si>
    <t>A518 08 013</t>
  </si>
  <si>
    <t>A518 08 018</t>
  </si>
  <si>
    <t>A518 08 019</t>
  </si>
  <si>
    <t>A518 09</t>
  </si>
  <si>
    <t>A518 09 001</t>
  </si>
  <si>
    <t>A518 10</t>
  </si>
  <si>
    <t>A518 10 000</t>
  </si>
  <si>
    <t>A518 74</t>
  </si>
  <si>
    <t>A518 74 001</t>
  </si>
  <si>
    <t>A518 74 002</t>
  </si>
  <si>
    <t>A518 74 004</t>
  </si>
  <si>
    <t>A518 74 005</t>
  </si>
  <si>
    <t>A518 74 008</t>
  </si>
  <si>
    <t>A518 74 010</t>
  </si>
  <si>
    <t>A518 74 011</t>
  </si>
  <si>
    <t>A518 74 012</t>
  </si>
  <si>
    <t>A518 74 013</t>
  </si>
  <si>
    <t>A518 74 015</t>
  </si>
  <si>
    <t>A518 74 017</t>
  </si>
  <si>
    <t>A518 74 018</t>
  </si>
  <si>
    <t>A518 74 019</t>
  </si>
  <si>
    <t>A518 74 020</t>
  </si>
  <si>
    <t>A518 74 003</t>
  </si>
  <si>
    <t>A518 74 022</t>
  </si>
  <si>
    <t>A518 80</t>
  </si>
  <si>
    <t>A518 80 000</t>
  </si>
  <si>
    <t>A518 80 001</t>
  </si>
  <si>
    <t>A518 90</t>
  </si>
  <si>
    <t>A518 90 502</t>
  </si>
  <si>
    <t>A518 90 504</t>
  </si>
  <si>
    <t>A518 90 506</t>
  </si>
  <si>
    <t>A518 90 508</t>
  </si>
  <si>
    <t>A518 90 574</t>
  </si>
  <si>
    <t>A521 00</t>
  </si>
  <si>
    <t>A521 00 000</t>
  </si>
  <si>
    <t>A521 11</t>
  </si>
  <si>
    <t>A521 11 000</t>
  </si>
  <si>
    <t>A521 12</t>
  </si>
  <si>
    <t>A521 12 000</t>
  </si>
  <si>
    <t>A521 13</t>
  </si>
  <si>
    <t>A521 13 000</t>
  </si>
  <si>
    <t>A521 14</t>
  </si>
  <si>
    <t>A521 14 000</t>
  </si>
  <si>
    <t>A521 15</t>
  </si>
  <si>
    <t>A521 15 000</t>
  </si>
  <si>
    <t>A521 21</t>
  </si>
  <si>
    <t>A521 21 000</t>
  </si>
  <si>
    <t>URE</t>
  </si>
  <si>
    <t>BOZP</t>
  </si>
  <si>
    <t>PEN</t>
  </si>
  <si>
    <t>OPMČ</t>
  </si>
  <si>
    <t>OVLZ</t>
  </si>
  <si>
    <t>OMU</t>
  </si>
  <si>
    <t>OIN</t>
  </si>
  <si>
    <t>OPS</t>
  </si>
  <si>
    <t>OMAR</t>
  </si>
  <si>
    <t>OSBTK</t>
  </si>
  <si>
    <t>OK</t>
  </si>
  <si>
    <t>A521 25</t>
  </si>
  <si>
    <t>A521 25 000</t>
  </si>
  <si>
    <t>A521 28</t>
  </si>
  <si>
    <t>A521 28 000</t>
  </si>
  <si>
    <t>A521 48</t>
  </si>
  <si>
    <t>A521 48 000</t>
  </si>
  <si>
    <t>A521 90</t>
  </si>
  <si>
    <t>A521 90 511</t>
  </si>
  <si>
    <t>A521 90 521</t>
  </si>
  <si>
    <t>A521 90 525</t>
  </si>
  <si>
    <t>A521 90 528</t>
  </si>
  <si>
    <t>A524 00</t>
  </si>
  <si>
    <t>A524 00 000</t>
  </si>
  <si>
    <t>A524 01</t>
  </si>
  <si>
    <t>A524 01 000</t>
  </si>
  <si>
    <t>A524 02</t>
  </si>
  <si>
    <t>A524 02 000</t>
  </si>
  <si>
    <t>A524 13</t>
  </si>
  <si>
    <t>A524 13 000</t>
  </si>
  <si>
    <t>A524 14</t>
  </si>
  <si>
    <t>A524 14 000</t>
  </si>
  <si>
    <t>A524 90</t>
  </si>
  <si>
    <t>A524 90 501</t>
  </si>
  <si>
    <t>A524 90 502</t>
  </si>
  <si>
    <t>A525 10</t>
  </si>
  <si>
    <t>A525 10 000</t>
  </si>
  <si>
    <t>A527 00</t>
  </si>
  <si>
    <t>A527 00 000</t>
  </si>
  <si>
    <t>A527 10</t>
  </si>
  <si>
    <t>A527 10 001</t>
  </si>
  <si>
    <t>A527 90</t>
  </si>
  <si>
    <t>A527 90 510</t>
  </si>
  <si>
    <t>A528 10</t>
  </si>
  <si>
    <t>A528 10 999</t>
  </si>
  <si>
    <t>A531 00</t>
  </si>
  <si>
    <t>A531 00 001</t>
  </si>
  <si>
    <t>A532 00</t>
  </si>
  <si>
    <t>A532 00 001</t>
  </si>
  <si>
    <t>A538 01</t>
  </si>
  <si>
    <t>A538 01 001</t>
  </si>
  <si>
    <t>A538 01 002</t>
  </si>
  <si>
    <t>A538 01 003</t>
  </si>
  <si>
    <t>A538 01 006</t>
  </si>
  <si>
    <t>A538 01 004</t>
  </si>
  <si>
    <t>A541 01</t>
  </si>
  <si>
    <t>A541 01 001</t>
  </si>
  <si>
    <t>A541 02</t>
  </si>
  <si>
    <t>A541 02 002</t>
  </si>
  <si>
    <t>A542 00</t>
  </si>
  <si>
    <t>A542 00 008</t>
  </si>
  <si>
    <t>A542 01</t>
  </si>
  <si>
    <t>A542 01 004</t>
  </si>
  <si>
    <t>A542 01 012</t>
  </si>
  <si>
    <t>A542 01 013</t>
  </si>
  <si>
    <t>A542 01 008</t>
  </si>
  <si>
    <t>A542 01 010</t>
  </si>
  <si>
    <t>A542 01 011</t>
  </si>
  <si>
    <t>A544 01</t>
  </si>
  <si>
    <t>A544 01 001</t>
  </si>
  <si>
    <t>A544 01 002</t>
  </si>
  <si>
    <t>A544 01 003</t>
  </si>
  <si>
    <t>A547 10</t>
  </si>
  <si>
    <t>A547 10 002</t>
  </si>
  <si>
    <t>A547 13</t>
  </si>
  <si>
    <t>A547 13 001</t>
  </si>
  <si>
    <t>A547 99</t>
  </si>
  <si>
    <t>A547 99 001</t>
  </si>
  <si>
    <t>A549 00</t>
  </si>
  <si>
    <t>A549 00 000</t>
  </si>
  <si>
    <t>A549 01</t>
  </si>
  <si>
    <t>A549 01 026</t>
  </si>
  <si>
    <t>A549 01 025</t>
  </si>
  <si>
    <t>A549 08</t>
  </si>
  <si>
    <t>A549 08 001</t>
  </si>
  <si>
    <t>A549 08 002</t>
  </si>
  <si>
    <t>A549 08 003</t>
  </si>
  <si>
    <t>A549 09</t>
  </si>
  <si>
    <t>A549 09 000</t>
  </si>
  <si>
    <t>A549 10</t>
  </si>
  <si>
    <t>A549 10 001</t>
  </si>
  <si>
    <t>A549 10 003</t>
  </si>
  <si>
    <t>A549 10 004</t>
  </si>
  <si>
    <t>A549 10 005</t>
  </si>
  <si>
    <t>A549 10 007</t>
  </si>
  <si>
    <t>A549 10 008</t>
  </si>
  <si>
    <t>A549 10 009</t>
  </si>
  <si>
    <t>A549 10 010</t>
  </si>
  <si>
    <t>A549 10 011</t>
  </si>
  <si>
    <t>A549 10 016</t>
  </si>
  <si>
    <t>A549 10 017</t>
  </si>
  <si>
    <t>A549 10 018</t>
  </si>
  <si>
    <t>A549 10 401</t>
  </si>
  <si>
    <t>A549 10 006</t>
  </si>
  <si>
    <t>A549 11</t>
  </si>
  <si>
    <t>A549 11 001</t>
  </si>
  <si>
    <t>A549 11 002</t>
  </si>
  <si>
    <t>A549 11 003</t>
  </si>
  <si>
    <t>A549 11 004</t>
  </si>
  <si>
    <t>A549 20</t>
  </si>
  <si>
    <t>A549 20 000</t>
  </si>
  <si>
    <t>A549 21</t>
  </si>
  <si>
    <t>A549 21 000</t>
  </si>
  <si>
    <t>A549 24</t>
  </si>
  <si>
    <t>A549 24 002</t>
  </si>
  <si>
    <t>A549 24 001</t>
  </si>
  <si>
    <t>A549 25</t>
  </si>
  <si>
    <t>A549 25 000</t>
  </si>
  <si>
    <t>A549 70</t>
  </si>
  <si>
    <t>A549 70 000</t>
  </si>
  <si>
    <t>A549 71</t>
  </si>
  <si>
    <t>A549 71 000</t>
  </si>
  <si>
    <t>A549 72</t>
  </si>
  <si>
    <t>A549 72 000</t>
  </si>
  <si>
    <t>A549 73</t>
  </si>
  <si>
    <t>A549 73 000</t>
  </si>
  <si>
    <t>A549 75</t>
  </si>
  <si>
    <t>A549 75 000</t>
  </si>
  <si>
    <t>A549 77</t>
  </si>
  <si>
    <t>A549 77 000</t>
  </si>
  <si>
    <t>A549 80</t>
  </si>
  <si>
    <t>A549 80 000</t>
  </si>
  <si>
    <t>A549 90</t>
  </si>
  <si>
    <t>A549 90 510</t>
  </si>
  <si>
    <t>A549 90 501</t>
  </si>
  <si>
    <t>A549 90 525</t>
  </si>
  <si>
    <t>A549 99</t>
  </si>
  <si>
    <t>A549 99 000</t>
  </si>
  <si>
    <t>A549 99 001</t>
  </si>
  <si>
    <t>A549 99 002</t>
  </si>
  <si>
    <t>A551 00</t>
  </si>
  <si>
    <t>A551 00 000</t>
  </si>
  <si>
    <t>A551 10</t>
  </si>
  <si>
    <t>A551 10 002</t>
  </si>
  <si>
    <t>A551 10 003</t>
  </si>
  <si>
    <t>A551 10 004</t>
  </si>
  <si>
    <t>A551 10 005</t>
  </si>
  <si>
    <t>A551 10 013</t>
  </si>
  <si>
    <t>A551 10 014</t>
  </si>
  <si>
    <t>A551 10 015</t>
  </si>
  <si>
    <t>A551 20</t>
  </si>
  <si>
    <t>A551 20 004</t>
  </si>
  <si>
    <t>A551 20 005</t>
  </si>
  <si>
    <t>A551 20 003</t>
  </si>
  <si>
    <t>A551 20 014</t>
  </si>
  <si>
    <t>A551 20 015</t>
  </si>
  <si>
    <t>A551 90</t>
  </si>
  <si>
    <t>A551 90 510</t>
  </si>
  <si>
    <t>A551 90 520</t>
  </si>
  <si>
    <t>A557 00</t>
  </si>
  <si>
    <t>A557 00 001</t>
  </si>
  <si>
    <t>A557 99</t>
  </si>
  <si>
    <t>A557 99 001</t>
  </si>
  <si>
    <t>A558 00</t>
  </si>
  <si>
    <t>A558 00 000</t>
  </si>
  <si>
    <t>A558 01</t>
  </si>
  <si>
    <t>A558 01 001</t>
  </si>
  <si>
    <t>A558 01 002</t>
  </si>
  <si>
    <t>A558 01 080</t>
  </si>
  <si>
    <t>A558 01 081</t>
  </si>
  <si>
    <t>A558 02</t>
  </si>
  <si>
    <t>A558 02 001</t>
  </si>
  <si>
    <t>A558 02 002</t>
  </si>
  <si>
    <t>A558 02 003</t>
  </si>
  <si>
    <t>A558 02 004</t>
  </si>
  <si>
    <t>A558 02 005</t>
  </si>
  <si>
    <t>A558 02 080</t>
  </si>
  <si>
    <t>A558 02 081</t>
  </si>
  <si>
    <t>A558 04</t>
  </si>
  <si>
    <t>A558 04 001</t>
  </si>
  <si>
    <t>A558 04 002</t>
  </si>
  <si>
    <t>A558 04 080</t>
  </si>
  <si>
    <t>A558 04 081</t>
  </si>
  <si>
    <t>A558 05</t>
  </si>
  <si>
    <t>A558 05 001</t>
  </si>
  <si>
    <t>A558 05 002</t>
  </si>
  <si>
    <t>A558 05 080</t>
  </si>
  <si>
    <t>A558 05 081</t>
  </si>
  <si>
    <t>A558 06 001</t>
  </si>
  <si>
    <t>A558 06 081</t>
  </si>
  <si>
    <t>A558 06 080</t>
  </si>
  <si>
    <t>PEU</t>
  </si>
  <si>
    <t>ONZTP</t>
  </si>
  <si>
    <t>A558 06</t>
  </si>
  <si>
    <t>A558 28</t>
  </si>
  <si>
    <t>A558 28 001</t>
  </si>
  <si>
    <t>A558 28 080</t>
  </si>
  <si>
    <t>A558 28 081</t>
  </si>
  <si>
    <t>A558 90</t>
  </si>
  <si>
    <t>A558 90 501</t>
  </si>
  <si>
    <t>A553 90</t>
  </si>
  <si>
    <t>A553 90 000</t>
  </si>
  <si>
    <t>A556 00</t>
  </si>
  <si>
    <t>A556 00 001</t>
  </si>
  <si>
    <t>A556 99</t>
  </si>
  <si>
    <t>A556 99 000</t>
  </si>
  <si>
    <t>A562 10</t>
  </si>
  <si>
    <t>A563 01 000</t>
  </si>
  <si>
    <t>A562 10 001</t>
  </si>
  <si>
    <t>A563 00</t>
  </si>
  <si>
    <t>A563 00 000</t>
  </si>
  <si>
    <t>A563 01</t>
  </si>
  <si>
    <t>A563 90</t>
  </si>
  <si>
    <t>A563 90 510</t>
  </si>
  <si>
    <t>A564 00</t>
  </si>
  <si>
    <t>A564 00 001</t>
  </si>
  <si>
    <t>A591 00</t>
  </si>
  <si>
    <t>A591 00 000</t>
  </si>
  <si>
    <t>A591 00 001</t>
  </si>
  <si>
    <t>A591 00 002</t>
  </si>
  <si>
    <t>A602 10</t>
  </si>
  <si>
    <t>A602 10 322</t>
  </si>
  <si>
    <t>A602 10 323</t>
  </si>
  <si>
    <t>A602 10 350</t>
  </si>
  <si>
    <t>A602 10 351</t>
  </si>
  <si>
    <t>A602 10 354</t>
  </si>
  <si>
    <t>A602 10 359</t>
  </si>
  <si>
    <t>A602 27</t>
  </si>
  <si>
    <t>A602 27 200</t>
  </si>
  <si>
    <t>A602 27 300</t>
  </si>
  <si>
    <t>A602 27 100</t>
  </si>
  <si>
    <t>A602 28</t>
  </si>
  <si>
    <t>A602 28 108</t>
  </si>
  <si>
    <t>A602 28 109</t>
  </si>
  <si>
    <t>A602 28 142</t>
  </si>
  <si>
    <t>A602 28 143</t>
  </si>
  <si>
    <t>A602 28 190</t>
  </si>
  <si>
    <t>A602 28 191</t>
  </si>
  <si>
    <t>A602 29</t>
  </si>
  <si>
    <t>A602 29 201</t>
  </si>
  <si>
    <t>A602 29 202</t>
  </si>
  <si>
    <t>A602 29 208</t>
  </si>
  <si>
    <t>A602 29 209</t>
  </si>
  <si>
    <t>A602 29 241</t>
  </si>
  <si>
    <t>A602 29 242</t>
  </si>
  <si>
    <t>A602 29 243</t>
  </si>
  <si>
    <t>A602 29 245</t>
  </si>
  <si>
    <t>A602 29 246</t>
  </si>
  <si>
    <t>A602 29 290</t>
  </si>
  <si>
    <t>A602 30</t>
  </si>
  <si>
    <t>A602 30 001</t>
  </si>
  <si>
    <t>A602 30 002</t>
  </si>
  <si>
    <t>A602 40</t>
  </si>
  <si>
    <t>A602 40 101</t>
  </si>
  <si>
    <t>A602 40 002</t>
  </si>
  <si>
    <t>A602 41</t>
  </si>
  <si>
    <t>A602 41 201</t>
  </si>
  <si>
    <t>A602 41 101</t>
  </si>
  <si>
    <t>A602 44</t>
  </si>
  <si>
    <t>A602 44 409</t>
  </si>
  <si>
    <t>A602 45</t>
  </si>
  <si>
    <t>A602 45 401</t>
  </si>
  <si>
    <t>A602 45 415</t>
  </si>
  <si>
    <t>A602 45 400</t>
  </si>
  <si>
    <t>A602 45 409</t>
  </si>
  <si>
    <t>A602 45 414</t>
  </si>
  <si>
    <t>A602 46</t>
  </si>
  <si>
    <t>A602 46 401</t>
  </si>
  <si>
    <t>A602 46 400</t>
  </si>
  <si>
    <t>A604 01</t>
  </si>
  <si>
    <t>A604 01 001</t>
  </si>
  <si>
    <t>A604 01 002</t>
  </si>
  <si>
    <t>A604 50</t>
  </si>
  <si>
    <t>A604 50 360</t>
  </si>
  <si>
    <t>A604 50 361</t>
  </si>
  <si>
    <t>A604 50 363</t>
  </si>
  <si>
    <t>A604 50 365</t>
  </si>
  <si>
    <t>A604 50 366</t>
  </si>
  <si>
    <t>A604 50 368</t>
  </si>
  <si>
    <t>A604 50 370</t>
  </si>
  <si>
    <t>A604 50 377</t>
  </si>
  <si>
    <t>A604 50 383</t>
  </si>
  <si>
    <t>OZPI</t>
  </si>
  <si>
    <t>A604 50 384</t>
  </si>
  <si>
    <t>A604 50 560</t>
  </si>
  <si>
    <t>A604 50 374</t>
  </si>
  <si>
    <t>A604 50 364</t>
  </si>
  <si>
    <t>A604 50 367</t>
  </si>
  <si>
    <t>A604 50 371</t>
  </si>
  <si>
    <t>A604 50 376</t>
  </si>
  <si>
    <t>A604 50 382</t>
  </si>
  <si>
    <t>A603 25</t>
  </si>
  <si>
    <t>A603 25 421</t>
  </si>
  <si>
    <t>A603 25 422</t>
  </si>
  <si>
    <t>A603 25 423</t>
  </si>
  <si>
    <t>A603 25 424</t>
  </si>
  <si>
    <t>A603 25 425</t>
  </si>
  <si>
    <t>A603 25 426</t>
  </si>
  <si>
    <t>A609 10</t>
  </si>
  <si>
    <t>A609 10 320</t>
  </si>
  <si>
    <t>A641 00</t>
  </si>
  <si>
    <t>A641 00 043</t>
  </si>
  <si>
    <t>A641 00 044</t>
  </si>
  <si>
    <t>A641 00 052</t>
  </si>
  <si>
    <t>A643 00</t>
  </si>
  <si>
    <t>A643 00 003</t>
  </si>
  <si>
    <t>A644 23</t>
  </si>
  <si>
    <t>A644 23 001</t>
  </si>
  <si>
    <t>A644 23 011</t>
  </si>
  <si>
    <t>A644 23 013</t>
  </si>
  <si>
    <t>A644 23 501</t>
  </si>
  <si>
    <t>A644 23 500</t>
  </si>
  <si>
    <t>A646 01</t>
  </si>
  <si>
    <t>A646 01 004</t>
  </si>
  <si>
    <t>A648 01</t>
  </si>
  <si>
    <t>A648 01 002</t>
  </si>
  <si>
    <t>A648 03</t>
  </si>
  <si>
    <t>A648 03 000</t>
  </si>
  <si>
    <t>A648 24</t>
  </si>
  <si>
    <t>A648 24 048</t>
  </si>
  <si>
    <t>A648 24 415</t>
  </si>
  <si>
    <t>A648 24 005</t>
  </si>
  <si>
    <t>A649 06</t>
  </si>
  <si>
    <t>A649 06 000</t>
  </si>
  <si>
    <t>A649 08</t>
  </si>
  <si>
    <t>A649 08 000</t>
  </si>
  <si>
    <t>A649 08 007</t>
  </si>
  <si>
    <t>A649 08 009</t>
  </si>
  <si>
    <t>A649 08 044</t>
  </si>
  <si>
    <t>A649 08 050</t>
  </si>
  <si>
    <t>A649 08 512</t>
  </si>
  <si>
    <t>A649 08 006</t>
  </si>
  <si>
    <t>A649 08 046</t>
  </si>
  <si>
    <t>A649 10</t>
  </si>
  <si>
    <t>A649 10 001</t>
  </si>
  <si>
    <t>A649 10 002</t>
  </si>
  <si>
    <t>A649 10 003</t>
  </si>
  <si>
    <t>A649 10 004</t>
  </si>
  <si>
    <t>A649 24</t>
  </si>
  <si>
    <t>A649 24 401</t>
  </si>
  <si>
    <t>A649 24 402</t>
  </si>
  <si>
    <t>A649 24 403</t>
  </si>
  <si>
    <t>A649 24 411</t>
  </si>
  <si>
    <t>A649 24 413</t>
  </si>
  <si>
    <t>A649 24 437</t>
  </si>
  <si>
    <t>A649 24 438</t>
  </si>
  <si>
    <t>A649 24 439</t>
  </si>
  <si>
    <t>A649 24 440</t>
  </si>
  <si>
    <t>A649 24 441</t>
  </si>
  <si>
    <t>A649 24 442</t>
  </si>
  <si>
    <t>A649 24 443</t>
  </si>
  <si>
    <t>A649 24 444</t>
  </si>
  <si>
    <t>A649 24 445</t>
  </si>
  <si>
    <t>A649 24 446</t>
  </si>
  <si>
    <t>A649 24 449</t>
  </si>
  <si>
    <t>A649 24 450</t>
  </si>
  <si>
    <t>A649 24 451</t>
  </si>
  <si>
    <t>A649 24 459</t>
  </si>
  <si>
    <t>A649 24 460</t>
  </si>
  <si>
    <t>A649 24 549</t>
  </si>
  <si>
    <t>A649 24 447</t>
  </si>
  <si>
    <t>A649 24 448</t>
  </si>
  <si>
    <t>A649 25</t>
  </si>
  <si>
    <t>A649 25 441</t>
  </si>
  <si>
    <t>A649 25 443</t>
  </si>
  <si>
    <t>A649 25 444</t>
  </si>
  <si>
    <t>A649 25 445</t>
  </si>
  <si>
    <t>A649 25 446</t>
  </si>
  <si>
    <t>A649 25 449</t>
  </si>
  <si>
    <t>A649 80</t>
  </si>
  <si>
    <t>A649 80 001</t>
  </si>
  <si>
    <t>A662 00</t>
  </si>
  <si>
    <t>A662 00 001</t>
  </si>
  <si>
    <t>A663 00</t>
  </si>
  <si>
    <t>A663 00 001</t>
  </si>
  <si>
    <t>A664 00</t>
  </si>
  <si>
    <t>A664 00001</t>
  </si>
  <si>
    <t>A671 01</t>
  </si>
  <si>
    <t>A671 01 000</t>
  </si>
  <si>
    <t>A671 01 001</t>
  </si>
  <si>
    <t>A671 01 002</t>
  </si>
  <si>
    <t>A671 01 007</t>
  </si>
  <si>
    <t>A671 01 010</t>
  </si>
  <si>
    <t>A671 01 006</t>
  </si>
  <si>
    <t>A671 01 011</t>
  </si>
  <si>
    <t>A671 02</t>
  </si>
  <si>
    <t>A671 02 001</t>
  </si>
  <si>
    <t>A671 02 002</t>
  </si>
  <si>
    <t>A671 20</t>
  </si>
  <si>
    <t>A671 20 001</t>
  </si>
  <si>
    <t>ONLEK</t>
  </si>
  <si>
    <t>A649 24 511</t>
  </si>
  <si>
    <t>OPP</t>
  </si>
  <si>
    <t>A504 95 373</t>
  </si>
  <si>
    <t xml:space="preserve">                    Nákl. na prodej - enter.a parent.výživa - ZP</t>
  </si>
  <si>
    <t>A501 15 061</t>
  </si>
  <si>
    <t xml:space="preserve">                    RTG materiál, filmy a chemikálie (sk. Z_504)</t>
  </si>
  <si>
    <t>A501 15 086</t>
  </si>
  <si>
    <t xml:space="preserve">                    ostatní ZPr - pacientské monitory (sk. Z_549)</t>
  </si>
  <si>
    <t xml:space="preserve">                    Odvod za nedodržení ZTP</t>
  </si>
  <si>
    <t>A551 20 002</t>
  </si>
  <si>
    <t xml:space="preserve">                    ZC DHM - z odpisů</t>
  </si>
  <si>
    <t>OFI</t>
  </si>
  <si>
    <t>A602 40 102</t>
  </si>
  <si>
    <t>A602 40 001</t>
  </si>
  <si>
    <t xml:space="preserve">                    odhad výk. za zdr. péči ZP (z minulých let)</t>
  </si>
  <si>
    <t xml:space="preserve">                    vyrov. odh. výk. za zdr. péči ZP (aktuální rok)</t>
  </si>
  <si>
    <t>OSB</t>
  </si>
  <si>
    <t>OVEH</t>
  </si>
  <si>
    <t>A518 08 020</t>
  </si>
  <si>
    <t>A518 08 021</t>
  </si>
  <si>
    <t xml:space="preserve">                    smluvní servis - UTZ</t>
  </si>
  <si>
    <t xml:space="preserve">                    revize, tech.kontroly, prev.prohl.- UTZ</t>
  </si>
  <si>
    <t>UIT</t>
  </si>
  <si>
    <t>ORST</t>
  </si>
  <si>
    <t>ORSA</t>
  </si>
  <si>
    <t>A528 10 000</t>
  </si>
  <si>
    <t xml:space="preserve">                zvyšování kvalifikace (OPMČ)</t>
  </si>
  <si>
    <t>OMAR, OVLZ</t>
  </si>
  <si>
    <t>OEC, OIN</t>
  </si>
  <si>
    <t>ORST, ORSA</t>
  </si>
  <si>
    <t>A525 10 001</t>
  </si>
  <si>
    <t xml:space="preserve">                    cestovní pojištění zaměstnanců</t>
  </si>
  <si>
    <t>dopoč. Prosinec</t>
  </si>
  <si>
    <t>rozpočet 2020</t>
  </si>
  <si>
    <t>A501 09</t>
  </si>
  <si>
    <t>A501 00</t>
  </si>
  <si>
    <t>A501 86</t>
  </si>
  <si>
    <t>Srpen</t>
  </si>
  <si>
    <t>Návrh rozpočtu FNOL na rok 2020</t>
  </si>
  <si>
    <t xml:space="preserve">                    Nákl. na prodej - enter.a parent.výživa - zdravotnickým zařízením</t>
  </si>
  <si>
    <t>A604 50 373</t>
  </si>
  <si>
    <t xml:space="preserve">                    Prodej - enter.a parent.výživa - ZP</t>
  </si>
  <si>
    <t xml:space="preserve">                    Prodej - enter.a parent.výživa - zdravotnickým zařízením</t>
  </si>
  <si>
    <t xml:space="preserve">                    ZPr. - HCO membrány (sk. Z546)</t>
  </si>
  <si>
    <t xml:space="preserve">                    ZPr. - katetry absorbční (sk. Z541)</t>
  </si>
  <si>
    <t xml:space="preserve">                    Všeob.mat. - razítka ostatní (V111) od 1 tis. do 2999,99 </t>
  </si>
  <si>
    <t xml:space="preserve">                    ND - ostatní techn. UTZ</t>
  </si>
  <si>
    <t xml:space="preserve">                    opravy zdravotnické techniky - UTZ</t>
  </si>
  <si>
    <t xml:space="preserve">                    opravy ostatní techniky - UTZ</t>
  </si>
  <si>
    <t xml:space="preserve">                    opravy ostatní techniky - ELSYS</t>
  </si>
  <si>
    <t xml:space="preserve">                    spotřeba cenin (známky, kolky)</t>
  </si>
  <si>
    <t xml:space="preserve">                    Ostatní provoz. sl. - hl. čin. (LPS)</t>
  </si>
  <si>
    <t xml:space="preserve">                    daň z příjmu - vytvoření dohadné položky (akt. období)</t>
  </si>
  <si>
    <t xml:space="preserve">                    Odškod.pacientů - prac. Úraz</t>
  </si>
  <si>
    <t xml:space="preserve">                    znalecké  posudky, odměny z klinických hodnocení</t>
  </si>
  <si>
    <t xml:space="preserve">                    Úklid. služby - brigádnické služby</t>
  </si>
  <si>
    <t xml:space="preserve">    Názvy účtů ↓</t>
  </si>
  <si>
    <t>Hospodářský výsledek→</t>
  </si>
  <si>
    <t xml:space="preserve">                    Transfery MZ na rezidenční místa</t>
  </si>
  <si>
    <t>A518 08 014</t>
  </si>
  <si>
    <t xml:space="preserve">                    Smluvní servis - potrubní pošta</t>
  </si>
  <si>
    <t>nové 4 ks sanitek</t>
  </si>
  <si>
    <t>vč. rezervy</t>
  </si>
  <si>
    <t>vč. rezervy 77,5 tis.Kč</t>
  </si>
  <si>
    <t>vč. rezervy 40 tis.Kč</t>
  </si>
  <si>
    <t>vč. rezervy 110 tis.Kč</t>
  </si>
  <si>
    <t>vč. rezervy 120 tis.Kč</t>
  </si>
  <si>
    <t>rezerva 50 tis. Kč</t>
  </si>
  <si>
    <t>opravy STA (100) DVBT2 (600)</t>
  </si>
  <si>
    <t>vč. rezervy 80 tis.Kč na navýšení cen a zimu</t>
  </si>
  <si>
    <t>rozpis Mgr. Svozil</t>
  </si>
  <si>
    <t>navýšení 0,5 mil.Kč na novou legislativu</t>
  </si>
  <si>
    <t>Mgr. Svozil -72 tis. Kč</t>
  </si>
  <si>
    <t>z toho Mgr. Svozil 200 tis.Kč.</t>
  </si>
  <si>
    <t>většinou generační obměna, viz rozpis.</t>
  </si>
  <si>
    <t>náhrada repasů</t>
  </si>
  <si>
    <t>nové freesety</t>
  </si>
  <si>
    <t>hlavně nové licence MS Office</t>
  </si>
  <si>
    <t>7.500 OBTKS, 100 UTZ</t>
  </si>
  <si>
    <t>plánovat ???</t>
  </si>
  <si>
    <t>v kolektivní smlouvě 5 mil.Kč</t>
  </si>
  <si>
    <t>již se zde neúčtuje</t>
  </si>
  <si>
    <t>rozpočet</t>
  </si>
  <si>
    <t>r2020-r2019</t>
  </si>
  <si>
    <t>r2020-s2018</t>
  </si>
  <si>
    <t>r2020-s2019</t>
  </si>
  <si>
    <t>r2020/ r2019</t>
  </si>
  <si>
    <t>r2020/ s2018</t>
  </si>
  <si>
    <t>r2020/ s2019</t>
  </si>
  <si>
    <t>fce</t>
  </si>
  <si>
    <t>z A518 08 008</t>
  </si>
  <si>
    <t>z A518 08 018</t>
  </si>
  <si>
    <t>z A 501 18 003</t>
  </si>
  <si>
    <t>z A511 02 021</t>
  </si>
  <si>
    <t>rozděleno .. 02 032</t>
  </si>
  <si>
    <t>rozděleno ..02 033,034</t>
  </si>
  <si>
    <t>rozděleno .. 08 020</t>
  </si>
  <si>
    <t>rozděleno .. 08 021</t>
  </si>
  <si>
    <t>vč. MEDEVAC</t>
  </si>
  <si>
    <t>Jiné pokuty a penále</t>
  </si>
  <si>
    <t>Manka a škody</t>
  </si>
  <si>
    <t>17.329 tis. Kč, nákladů</t>
  </si>
  <si>
    <t>3.600 tis. Kč, nákladů</t>
  </si>
  <si>
    <t>rezerva 6.137 tis. Kč</t>
  </si>
  <si>
    <t>2019: prádelna 5.853,40</t>
  </si>
  <si>
    <t>2019: prádelna 2.355,77</t>
  </si>
  <si>
    <t>2019: prádelna 71.636,12</t>
  </si>
  <si>
    <t>2019: prádelna 296.073,-</t>
  </si>
  <si>
    <t>2019: prádelna 3.691,20</t>
  </si>
  <si>
    <t>2019: prádelna 26.268,-</t>
  </si>
  <si>
    <t>2019: prádelna 167.885,-</t>
  </si>
  <si>
    <t>2019: prádelna 1.494.914,-</t>
  </si>
  <si>
    <t>2019: prádelna 376.934,-</t>
  </si>
  <si>
    <t>2019: prádelna 15.947,-</t>
  </si>
  <si>
    <t>rezerva 200 tis., 2019: prádelna 51.165 Kč</t>
  </si>
  <si>
    <t>rezerva 200 tis. Kč, 2019: prádelna 2.880 Kč</t>
  </si>
  <si>
    <t>2019: prádelna 606.632 Kč</t>
  </si>
  <si>
    <t>2019: prádelna 307.010 Kč</t>
  </si>
  <si>
    <t>2020: prádelna 1.157 tis. Kč</t>
  </si>
  <si>
    <t>staženo 500 tis. Kč</t>
  </si>
  <si>
    <t>kliniky si řekly</t>
  </si>
  <si>
    <t>léky</t>
  </si>
  <si>
    <t>SZM</t>
  </si>
  <si>
    <t>bez CL a § 16</t>
  </si>
  <si>
    <t>CL</t>
  </si>
  <si>
    <t>§16</t>
  </si>
  <si>
    <t>limity</t>
  </si>
  <si>
    <t>nové</t>
  </si>
  <si>
    <t>Hemlibra</t>
  </si>
  <si>
    <t>původní MAK</t>
  </si>
  <si>
    <t>rozdíl my dáme a limity</t>
  </si>
  <si>
    <t>my dáme jsme řekli</t>
  </si>
  <si>
    <t>předpoklad plán 2020 léky verze 0</t>
  </si>
  <si>
    <t>výchozí objem limity finální 2019</t>
  </si>
  <si>
    <t>rezerva - potřeba FNOL</t>
  </si>
  <si>
    <t xml:space="preserve">zisk </t>
  </si>
  <si>
    <t>manipulační prostor EÚ</t>
  </si>
  <si>
    <t>ZM</t>
  </si>
  <si>
    <t>korekce objemu ZM viz plán výpočtu LP a ZM</t>
  </si>
  <si>
    <t>Min. rezerva v tržbách</t>
  </si>
  <si>
    <t>AKTUÁLNÍ POTENCIÁL HV vč dohadů a nadprodukce z 2019</t>
  </si>
  <si>
    <t>ZISK léky v plánu</t>
  </si>
  <si>
    <t>ZISK ZM v plánu</t>
  </si>
  <si>
    <t>REAL MIN Nadprodukce z 2019</t>
  </si>
  <si>
    <t>DOPADY 2019</t>
  </si>
  <si>
    <t>BĚŽNÁ ČINNOST 2020</t>
  </si>
  <si>
    <t>NUTNÁ AMBICE SNÍŽENÍ ON - PRO HV 180 mil. Kč před zdaněním z běžné činnosti a navýšení rezervy o 10 mil. Kč</t>
  </si>
  <si>
    <t>cíl 150 mil. Kč z běžné činnosti před zdaněním</t>
  </si>
  <si>
    <t>ON - plán 2020 při snížení o ambici</t>
  </si>
  <si>
    <t>ON - plán 2019 bez snížení o prádelnu</t>
  </si>
  <si>
    <t>se zohl. dopadu prádelny cca 3.192 mil. Kč</t>
  </si>
  <si>
    <t>ON - akutální předp. 2019</t>
  </si>
  <si>
    <t>Nárůst plánu ON 2020 při snížení o ambici proti plánu 2019</t>
  </si>
  <si>
    <t>Aktuální meziroční nárůst ON 2020 proti předp. 2019</t>
  </si>
  <si>
    <t>ON - plán 2020</t>
  </si>
  <si>
    <t>tj. v %</t>
  </si>
  <si>
    <t>bez ambice snížení ON</t>
  </si>
  <si>
    <t>HV zahrnuté v plánu - vč. ZISKU nyní a úhrady potenc. nadprodukce</t>
  </si>
  <si>
    <t>REZERVY</t>
  </si>
  <si>
    <t>LÉKY</t>
  </si>
  <si>
    <t>Správa</t>
  </si>
  <si>
    <t>OBÚ</t>
  </si>
  <si>
    <t>IT</t>
  </si>
  <si>
    <t>380 tis. rozdělení na kliniky</t>
  </si>
  <si>
    <t>korekce objemu LP bez CL a §16 viz plán výpočtu LP a ZM, proti dílčím plánům klinik</t>
  </si>
  <si>
    <t>plán SZM je 1.035 mil. Kč, z toho 20 mil zisk a 20 rezerva, k rozdělení 995 mil Kč proti limitu 993 mil Kč., viz sestava limity k 31.12.2019</t>
  </si>
  <si>
    <t>v tom:</t>
  </si>
  <si>
    <t>NON</t>
  </si>
  <si>
    <t>plán léky bez CL a §16 je 380 mil. Kč, z toho 10 mil zisk a 10 rezerva, k rozdělení 360 mil Kč proti limitu 354 mil Kč., viz sestava limity k 31.12.2019 a 3,5 Hemlibra tj, oproti 357,5</t>
  </si>
  <si>
    <t>a) rezerva - potřeba FNOL</t>
  </si>
  <si>
    <t>1) plán léky bez CL a § 16</t>
  </si>
  <si>
    <t>b) zisk - FNOL</t>
  </si>
  <si>
    <t>2) plán zdravotnický materiál</t>
  </si>
  <si>
    <t>3) Ing. Olejníček - hlavní správce</t>
  </si>
  <si>
    <t>a) snížení rozpočtu</t>
  </si>
  <si>
    <t>z toho:</t>
  </si>
  <si>
    <t>511 02 024</t>
  </si>
  <si>
    <t>518 08 008</t>
  </si>
  <si>
    <t>4) Ing. Hlavinka - náměstek IT</t>
  </si>
  <si>
    <t>b) rezerva pro IT</t>
  </si>
  <si>
    <t>518 74 013</t>
  </si>
  <si>
    <t>5) Mgr. Čech - nákup zdravotnické přístroje a nástroje</t>
  </si>
  <si>
    <t>b) rezerva nákupu</t>
  </si>
  <si>
    <t>558 01 001</t>
  </si>
  <si>
    <t>6) Ing. Jeřábková - marketing</t>
  </si>
  <si>
    <t>518 74 020</t>
  </si>
  <si>
    <t>plán klinik:</t>
  </si>
  <si>
    <t>HIGHLIGHTS 2020</t>
  </si>
  <si>
    <t>b) v plánu zahrnuta rezerva pro ÚHTS</t>
  </si>
  <si>
    <t>a) snížení předloženého rozpočtu</t>
  </si>
  <si>
    <t>plán dle garantů</t>
  </si>
  <si>
    <t>plán dle garanta</t>
  </si>
  <si>
    <t>a) snížení nákladů rozpočtu</t>
  </si>
  <si>
    <t>b) zvýšení výnosů rozpočtu</t>
  </si>
  <si>
    <t>c) rezerva marketingu</t>
  </si>
  <si>
    <t>plán dle garanta výnosy</t>
  </si>
  <si>
    <t>plán dle garanta náklady</t>
  </si>
  <si>
    <t>Upraveno nad hodnotu plánu 2019</t>
  </si>
  <si>
    <t xml:space="preserve"> info Mgr. Procházková, upřesnění 7.1.2020</t>
  </si>
  <si>
    <t xml:space="preserve"> info Mgr. Procházková, upřesnění 7.1.2021</t>
  </si>
  <si>
    <t>Dohadné položky z 2019 - odhad</t>
  </si>
  <si>
    <t>Min. potenciál úhrady HOSP. nadprodukce při výkonnosti jako v 2019 včetně korekce tržeb do HV 0 - ODHAD</t>
  </si>
  <si>
    <t>Centrové léky</t>
  </si>
  <si>
    <t>Par. 16</t>
  </si>
  <si>
    <t>HV plán MZdr po korekci</t>
  </si>
  <si>
    <t>3) plán Centrové léky a § 16</t>
  </si>
  <si>
    <t>Marketing</t>
  </si>
  <si>
    <t>Rezerva v tržbách, snížení o předpokládané HV</t>
  </si>
  <si>
    <t>ziskové rezervy</t>
  </si>
  <si>
    <t>rezervy k rozdělení na HS</t>
  </si>
  <si>
    <t>rezervy garantů</t>
  </si>
  <si>
    <t>neadresnost střediska</t>
  </si>
  <si>
    <t>501 13 001</t>
  </si>
  <si>
    <t>ÚHTS</t>
  </si>
  <si>
    <t>558 05 002</t>
  </si>
  <si>
    <t>nábytek</t>
  </si>
  <si>
    <t>501 15 060</t>
  </si>
  <si>
    <t>DDHM Čech</t>
  </si>
  <si>
    <t>521 11 000</t>
  </si>
  <si>
    <t>512 01 000</t>
  </si>
  <si>
    <t>524 01 000</t>
  </si>
  <si>
    <t>512 03 000</t>
  </si>
  <si>
    <t>525 10 000</t>
  </si>
  <si>
    <t>527 10 001</t>
  </si>
  <si>
    <t>Tržba</t>
  </si>
  <si>
    <t>602 45 401</t>
  </si>
  <si>
    <t>cestovné</t>
  </si>
  <si>
    <t>501 13 016</t>
  </si>
  <si>
    <t>501 13 017</t>
  </si>
  <si>
    <t>3) Tržby</t>
  </si>
  <si>
    <t>k tomu:</t>
  </si>
  <si>
    <t>a) nadprodukce</t>
  </si>
  <si>
    <t>b) rezerva FNOL</t>
  </si>
  <si>
    <t>c) zisk FNOL</t>
  </si>
  <si>
    <t>kontrola</t>
  </si>
  <si>
    <t>Údržbový materiál ostatní - sklady (sk.T17)</t>
  </si>
  <si>
    <t>Spotřební materiál k PDS (potrubní pošta (sk.V22)</t>
  </si>
  <si>
    <t>Spotřební materiál k ZPr. (sk.V21)</t>
  </si>
  <si>
    <t>Všeob.mat. - nábytek (V30) do 1tis.</t>
  </si>
  <si>
    <t xml:space="preserve">Všeob.mat. - hosp.přístr.a nářadí (V32) od 1tis do 2999,99 </t>
  </si>
  <si>
    <t>NS 8988</t>
  </si>
  <si>
    <t>501 17 007</t>
  </si>
  <si>
    <t>501 17 008</t>
  </si>
  <si>
    <t>501 17 009</t>
  </si>
  <si>
    <t>501 17 020</t>
  </si>
  <si>
    <t>501 17 021</t>
  </si>
  <si>
    <t>501 17 022</t>
  </si>
  <si>
    <t>501 17 023</t>
  </si>
  <si>
    <t>501 17 025</t>
  </si>
  <si>
    <t>501 18 001</t>
  </si>
  <si>
    <t>501 19 077</t>
  </si>
  <si>
    <t>501 19 090</t>
  </si>
  <si>
    <t>501 19 092</t>
  </si>
  <si>
    <t>558 02 001</t>
  </si>
  <si>
    <t>558 02 002</t>
  </si>
  <si>
    <t>558 02 003</t>
  </si>
  <si>
    <t>558 02 005</t>
  </si>
  <si>
    <t>558 05 001</t>
  </si>
  <si>
    <t>558 06 001</t>
  </si>
  <si>
    <t xml:space="preserve">Všeob.mat. - kuchyň tech. (V33) od 1tis do 2999,99 </t>
  </si>
  <si>
    <t xml:space="preserve">Všeob.mat. - kancel.tech. (V34) od 1tis do 2999,99 </t>
  </si>
  <si>
    <t xml:space="preserve">Všeob.mat. - razítka ostatní (V111) od 1 tis. do 2999,99 </t>
  </si>
  <si>
    <t>ND - ostatní (všeob.sklad) (sk.V38)</t>
  </si>
  <si>
    <t>OOPP a prádlo pro zaměstnance (sk.T14)</t>
  </si>
  <si>
    <t>OOPP pro pacienty a doprovod (sk.T11)</t>
  </si>
  <si>
    <t>Pokojový textil (sk. T15)</t>
  </si>
  <si>
    <t>DDHM - kuchyňské zařízení a nádobí (sk.V_26)</t>
  </si>
  <si>
    <t>DDHM - ostatní provozní technika (sk.V_35)</t>
  </si>
  <si>
    <t>DDHM - kacelářská technika (sk.V_37)</t>
  </si>
  <si>
    <t>DDHM - OOPP pro pacienty a doprovod (sk.T_13)</t>
  </si>
  <si>
    <t>DDHM - ostatní (sk.T_19)</t>
  </si>
  <si>
    <t>DDHM - ostatní, razítka (sk.V_47, V_112)</t>
  </si>
  <si>
    <t>518 80 000</t>
  </si>
  <si>
    <t>542 00 008</t>
  </si>
  <si>
    <t>549 80 000</t>
  </si>
  <si>
    <t>649 80 001</t>
  </si>
  <si>
    <t>671 20 001</t>
  </si>
  <si>
    <t>549 24 002</t>
  </si>
  <si>
    <t>Služby z fin.darů</t>
  </si>
  <si>
    <t>Odvod za nedodržení ZTP</t>
  </si>
  <si>
    <t>Odškod.pacientů - renty</t>
  </si>
  <si>
    <t>Jiné náklady z fin.darů</t>
  </si>
  <si>
    <t>Věcné dary</t>
  </si>
  <si>
    <t>Výnosy k úč.403 06 (k úč.551 odpisy) - finanční dary</t>
  </si>
  <si>
    <t>501 19 002</t>
  </si>
  <si>
    <t>501 17 001</t>
  </si>
  <si>
    <t>501 60 002</t>
  </si>
  <si>
    <t>501 80 000</t>
  </si>
  <si>
    <t>501 80 001</t>
  </si>
  <si>
    <t>518 74 003</t>
  </si>
  <si>
    <t>518 74 010</t>
  </si>
  <si>
    <t>521 48 000</t>
  </si>
  <si>
    <t>549 25 000</t>
  </si>
  <si>
    <t>648 03 000</t>
  </si>
  <si>
    <t>648 24 048</t>
  </si>
  <si>
    <t>649 08 007</t>
  </si>
  <si>
    <t>649 24 443</t>
  </si>
  <si>
    <t>649 24 449</t>
  </si>
  <si>
    <t>649 24 549</t>
  </si>
  <si>
    <t>563 01 000</t>
  </si>
  <si>
    <t>663 00 001</t>
  </si>
  <si>
    <t>649 10 001</t>
  </si>
  <si>
    <t>649 10 003</t>
  </si>
  <si>
    <t>649 10 002</t>
  </si>
  <si>
    <t>N</t>
  </si>
  <si>
    <t>V</t>
  </si>
  <si>
    <t>Prodaný dlouhodobý nehmotný majetek</t>
  </si>
  <si>
    <t>Prodané pozemky</t>
  </si>
  <si>
    <t>Náklady z vyřazených pohledávek</t>
  </si>
  <si>
    <t>Náklady z drobného dlouhodobého majetku</t>
  </si>
  <si>
    <t>ZC prodaného DHM</t>
  </si>
  <si>
    <t>Ostatní finanční náklady</t>
  </si>
  <si>
    <t>Výnosy z prodeje materiálu</t>
  </si>
  <si>
    <t>Výnosy z vyřazených pohledávek</t>
  </si>
  <si>
    <t>Čerpání fondů</t>
  </si>
  <si>
    <t>Ostatní náklady z činnosti</t>
  </si>
  <si>
    <t>Ostatní výnosy z činnosti</t>
  </si>
  <si>
    <t xml:space="preserve">            Výnosy z přecenění reálnou hodnotou</t>
  </si>
  <si>
    <t xml:space="preserve">            Zákonné sociální náklady</t>
  </si>
  <si>
    <t xml:space="preserve">            Jiné sociální pojištění</t>
  </si>
  <si>
    <t xml:space="preserve">            Aktivace oběžného majetku</t>
  </si>
  <si>
    <t xml:space="preserve">            Jiné daně a poplatky</t>
  </si>
  <si>
    <t xml:space="preserve">        Výnosy za vlastní výkony a zboží</t>
  </si>
  <si>
    <t xml:space="preserve">            Výnosy z prodeje vlastních výrobků</t>
  </si>
  <si>
    <t xml:space="preserve">            Výnosy z prodeje služeb</t>
  </si>
  <si>
    <t xml:space="preserve">            Výnosy z prodaného zboží</t>
  </si>
  <si>
    <t>Výnosy z pronájmu</t>
  </si>
  <si>
    <t>Jiné výnosy z vlastních výkonů</t>
  </si>
  <si>
    <t>Tvorba a zúčtování rezerv</t>
  </si>
  <si>
    <t>s2019-s2018</t>
  </si>
  <si>
    <t>s2019/ s2018</t>
  </si>
  <si>
    <t>Rozpočet 2020</t>
  </si>
  <si>
    <t>Platnost: od 1.1.2020</t>
  </si>
  <si>
    <t>Účet</t>
  </si>
  <si>
    <t>Položka</t>
  </si>
  <si>
    <t>Schválený ROZPOČET 2020</t>
  </si>
  <si>
    <t>Schválený ROZPOČET 2020                          (v tis. Kč.)</t>
  </si>
  <si>
    <t xml:space="preserve">    Náklady</t>
  </si>
  <si>
    <t xml:space="preserve">            Jiné pokuty a penále</t>
  </si>
  <si>
    <t xml:space="preserve">            Ostatní náklady z činnosti</t>
  </si>
  <si>
    <t xml:space="preserve">            Náklady z drobného dlouhodobého majetku</t>
  </si>
  <si>
    <t xml:space="preserve">            Daň z příjmů</t>
  </si>
  <si>
    <t xml:space="preserve">            Výnosy z pronájmu</t>
  </si>
  <si>
    <t xml:space="preserve">            Jiné výnosy z vlastních výkonů</t>
  </si>
  <si>
    <t xml:space="preserve">            Výnosy z prodeje materiálu</t>
  </si>
  <si>
    <t xml:space="preserve">            Čerpání fondů</t>
  </si>
  <si>
    <t xml:space="preserve">            Ostatní výnosy z činnosti</t>
  </si>
  <si>
    <t xml:space="preserve">        Výnosy z transferů</t>
  </si>
  <si>
    <t>Hospodářský výsledek</t>
  </si>
  <si>
    <t>V Olomouci</t>
  </si>
  <si>
    <t xml:space="preserve"> dne 21. 1. 2020</t>
  </si>
  <si>
    <t>Zpracoval:</t>
  </si>
  <si>
    <t>Ing. Zdeněk Havlíček</t>
  </si>
  <si>
    <t>Odsouhlasil:</t>
  </si>
  <si>
    <t>Ing. Martin Knápek</t>
  </si>
  <si>
    <t>vedoucí OEC</t>
  </si>
  <si>
    <t>hlavní ekonom</t>
  </si>
  <si>
    <t>Předložil:</t>
  </si>
  <si>
    <t>Ing. Tomáš Uvízl</t>
  </si>
  <si>
    <t>Schválil:</t>
  </si>
  <si>
    <t>prof. MUDr. Roman Havlík, Ph.D.</t>
  </si>
  <si>
    <t>ekonomický náměstek</t>
  </si>
  <si>
    <t>ředitel FNOL</t>
  </si>
  <si>
    <t>Detail - analytický účet</t>
  </si>
  <si>
    <t>A50110</t>
  </si>
  <si>
    <t>A50110001</t>
  </si>
  <si>
    <t>A50112</t>
  </si>
  <si>
    <t>A50112001</t>
  </si>
  <si>
    <t>A50112002</t>
  </si>
  <si>
    <t>A50112004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</si>
  <si>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</si>
  <si>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</si>
  <si>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</si>
  <si>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</si>
  <si>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</si>
  <si>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</si>
  <si>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</si>
  <si>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</si>
  <si>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</si>
  <si>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</si>
  <si>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</si>
  <si>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</si>
  <si>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</si>
  <si>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</si>
  <si>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</si>
  <si>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</si>
  <si>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</si>
  <si>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</si>
  <si>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</si>
  <si>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A50114</t>
  </si>
  <si>
    <t>A50114002</t>
  </si>
  <si>
    <t>A50114003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</si>
  <si>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</si>
  <si>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</si>
  <si>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</si>
  <si>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</si>
  <si>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</si>
  <si>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</si>
  <si>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</si>
  <si>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</si>
  <si>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</si>
  <si>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</si>
  <si>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</si>
  <si>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</si>
  <si>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</si>
  <si>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</si>
  <si>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</si>
  <si>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</si>
  <si>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</si>
  <si>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</si>
  <si>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</si>
  <si>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</si>
  <si>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</si>
  <si>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</si>
  <si>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</si>
  <si>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</si>
  <si>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</si>
  <si>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</si>
  <si>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</si>
  <si>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</si>
  <si>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</si>
  <si>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</si>
  <si>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</si>
  <si>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</si>
  <si>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</si>
  <si>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</si>
  <si>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</si>
  <si>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</si>
  <si>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</si>
  <si>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</si>
  <si>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</si>
  <si>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</si>
  <si>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</si>
  <si>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</si>
  <si>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</si>
  <si>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A50115010</t>
  </si>
  <si>
    <t xml:space="preserve">                    RTG materiál, filmy a chemikálie (Z504)</t>
  </si>
  <si>
    <t>A50115012</t>
  </si>
  <si>
    <t>A50116</t>
  </si>
  <si>
    <t>A50116001</t>
  </si>
  <si>
    <t>A50116002</t>
  </si>
  <si>
    <t>A50116003</t>
  </si>
  <si>
    <t>A50116004</t>
  </si>
  <si>
    <t>A50116006</t>
  </si>
  <si>
    <t>A50116010</t>
  </si>
  <si>
    <t>A50116402</t>
  </si>
  <si>
    <t>A50116403</t>
  </si>
  <si>
    <t>A50116404</t>
  </si>
  <si>
    <t>A50116502</t>
  </si>
  <si>
    <t>A50117</t>
  </si>
  <si>
    <t>A50117001</t>
  </si>
  <si>
    <t>A50117002</t>
  </si>
  <si>
    <t>A50117003</t>
  </si>
  <si>
    <t>A50117004</t>
  </si>
  <si>
    <t>A50117005</t>
  </si>
  <si>
    <t>A50117007</t>
  </si>
  <si>
    <t>A50117008</t>
  </si>
  <si>
    <t>A50117009</t>
  </si>
  <si>
    <t>A50117010</t>
  </si>
  <si>
    <t>A50117011</t>
  </si>
  <si>
    <t>A50117015</t>
  </si>
  <si>
    <t>A50117020</t>
  </si>
  <si>
    <t>A50117021</t>
  </si>
  <si>
    <t xml:space="preserve">                    Všeob.mat. - hosp.přístr.a nářadí (V32) od 1tis do 2999,99</t>
  </si>
  <si>
    <t>A50117022</t>
  </si>
  <si>
    <t xml:space="preserve">                    Všeob.mat. - kuchyň tech. (V33) od 1tis do 2999,99</t>
  </si>
  <si>
    <t>A50117023</t>
  </si>
  <si>
    <t xml:space="preserve">                    Všeob.mat. - kancel.tech. (V34) od 1tis do 2999,99</t>
  </si>
  <si>
    <t>A50117024</t>
  </si>
  <si>
    <t xml:space="preserve">                    Všeob.mat. - ostatní-vyjímky (V44) od 0,01 do 999,99</t>
  </si>
  <si>
    <t>A50117190</t>
  </si>
  <si>
    <t>A50117025</t>
  </si>
  <si>
    <t xml:space="preserve">                    Všeob.mat. - razítka ostatní (V111) od 0,01 do 2999,99</t>
  </si>
  <si>
    <t>A50118</t>
  </si>
  <si>
    <t>A50118002</t>
  </si>
  <si>
    <t>A50118003</t>
  </si>
  <si>
    <t>A50118004</t>
  </si>
  <si>
    <t>A50118005</t>
  </si>
  <si>
    <t>A50118006</t>
  </si>
  <si>
    <t>A50118007</t>
  </si>
  <si>
    <t>A50118009</t>
  </si>
  <si>
    <t xml:space="preserve">                    ND - ostatní technika (UTZ)</t>
  </si>
  <si>
    <t>A50119</t>
  </si>
  <si>
    <t>A50119002</t>
  </si>
  <si>
    <t>A50119077</t>
  </si>
  <si>
    <t>A50119090</t>
  </si>
  <si>
    <t>A50119092</t>
  </si>
  <si>
    <t>A50119100</t>
  </si>
  <si>
    <t>A50119101</t>
  </si>
  <si>
    <t>A50119102</t>
  </si>
  <si>
    <t>A50160</t>
  </si>
  <si>
    <t>A50160002</t>
  </si>
  <si>
    <t>A50180</t>
  </si>
  <si>
    <t>A50180000</t>
  </si>
  <si>
    <t>A50180001</t>
  </si>
  <si>
    <t>A50210</t>
  </si>
  <si>
    <t>A50210071</t>
  </si>
  <si>
    <t>A50210072</t>
  </si>
  <si>
    <t>A50210073</t>
  </si>
  <si>
    <t>A50210075</t>
  </si>
  <si>
    <t>A50401</t>
  </si>
  <si>
    <t>A50401001</t>
  </si>
  <si>
    <t>A50401002</t>
  </si>
  <si>
    <t>A50401003</t>
  </si>
  <si>
    <t>A50495</t>
  </si>
  <si>
    <t>A50495360</t>
  </si>
  <si>
    <t>A50495361</t>
  </si>
  <si>
    <t>A50495363</t>
  </si>
  <si>
    <t>A50495365</t>
  </si>
  <si>
    <t>A50495366</t>
  </si>
  <si>
    <t>A50495368</t>
  </si>
  <si>
    <t xml:space="preserve">                    Nákl. na prodej - poukazy ZP</t>
  </si>
  <si>
    <t>A50495370</t>
  </si>
  <si>
    <t>A50495377</t>
  </si>
  <si>
    <t>A50495383</t>
  </si>
  <si>
    <t xml:space="preserve">                    Nákl. na prodej PZT FONI - ZP</t>
  </si>
  <si>
    <t>A50495384</t>
  </si>
  <si>
    <t>A50495560</t>
  </si>
  <si>
    <t>A50700</t>
  </si>
  <si>
    <t>A50700002</t>
  </si>
  <si>
    <t>A50700031</t>
  </si>
  <si>
    <t>A50700032</t>
  </si>
  <si>
    <t>A50711</t>
  </si>
  <si>
    <t>A50711001</t>
  </si>
  <si>
    <t>A50711002</t>
  </si>
  <si>
    <t>A50711003</t>
  </si>
  <si>
    <t xml:space="preserve">                    Parenterální výživa</t>
  </si>
  <si>
    <t>A51102</t>
  </si>
  <si>
    <t>A51102021</t>
  </si>
  <si>
    <t>A51102022</t>
  </si>
  <si>
    <t>A51102023</t>
  </si>
  <si>
    <t>A51102024</t>
  </si>
  <si>
    <t>A51102025</t>
  </si>
  <si>
    <t>A51102026</t>
  </si>
  <si>
    <t>A51102027</t>
  </si>
  <si>
    <t>A51102029</t>
  </si>
  <si>
    <t>A51102030</t>
  </si>
  <si>
    <t>A51102032</t>
  </si>
  <si>
    <t xml:space="preserve">                    Opravy zdravotnické techniky - UTZ</t>
  </si>
  <si>
    <t>A51102033</t>
  </si>
  <si>
    <t xml:space="preserve">                    Opravy ostatní techniky - UTZ</t>
  </si>
  <si>
    <t>A51102034</t>
  </si>
  <si>
    <t xml:space="preserve">                    Opravy ostatní techniky - ELSYS</t>
  </si>
  <si>
    <t>A51201</t>
  </si>
  <si>
    <t>A51201000</t>
  </si>
  <si>
    <t>A51202</t>
  </si>
  <si>
    <t>A51202001</t>
  </si>
  <si>
    <t>A51203</t>
  </si>
  <si>
    <t>A51203000</t>
  </si>
  <si>
    <t>A51280</t>
  </si>
  <si>
    <t>A51280000</t>
  </si>
  <si>
    <t>A51399</t>
  </si>
  <si>
    <t>A51399001</t>
  </si>
  <si>
    <t>A51399002</t>
  </si>
  <si>
    <t>A51801</t>
  </si>
  <si>
    <t>A51801000</t>
  </si>
  <si>
    <t>A51802</t>
  </si>
  <si>
    <t>A51802001</t>
  </si>
  <si>
    <t>A51802003</t>
  </si>
  <si>
    <t>A51804</t>
  </si>
  <si>
    <t>A51804001</t>
  </si>
  <si>
    <t>A51804002</t>
  </si>
  <si>
    <t>A51804004</t>
  </si>
  <si>
    <t>A51804005</t>
  </si>
  <si>
    <t>A51804003</t>
  </si>
  <si>
    <t>A51805</t>
  </si>
  <si>
    <t>A51805001</t>
  </si>
  <si>
    <t>A51806</t>
  </si>
  <si>
    <t>A51806001</t>
  </si>
  <si>
    <t>A51806002</t>
  </si>
  <si>
    <t>A51806004</t>
  </si>
  <si>
    <t>A51806005</t>
  </si>
  <si>
    <t>A51806006</t>
  </si>
  <si>
    <t>A51806011</t>
  </si>
  <si>
    <t>A51806007</t>
  </si>
  <si>
    <t>A51807</t>
  </si>
  <si>
    <t>A51807002</t>
  </si>
  <si>
    <t>A51807012</t>
  </si>
  <si>
    <t>A51807411</t>
  </si>
  <si>
    <t>A51808</t>
  </si>
  <si>
    <t>A51808007</t>
  </si>
  <si>
    <t>A51808008</t>
  </si>
  <si>
    <t>A51808009</t>
  </si>
  <si>
    <t>A51808010</t>
  </si>
  <si>
    <t>A51808011</t>
  </si>
  <si>
    <t>A51808012</t>
  </si>
  <si>
    <t>A51808013</t>
  </si>
  <si>
    <t>A51808014</t>
  </si>
  <si>
    <t xml:space="preserve">                    Smluvní servis - potrubní pošta          </t>
  </si>
  <si>
    <t>A51808018</t>
  </si>
  <si>
    <t>A51808019</t>
  </si>
  <si>
    <t>A51808020</t>
  </si>
  <si>
    <t xml:space="preserve">                    Smluvní servis - UTZ</t>
  </si>
  <si>
    <t>A51808021</t>
  </si>
  <si>
    <t xml:space="preserve">                    Revize, tech.kontroly, prev.prohl.- UTZ</t>
  </si>
  <si>
    <t>A51809</t>
  </si>
  <si>
    <t>A51809001</t>
  </si>
  <si>
    <t>A51874</t>
  </si>
  <si>
    <t>A51874001</t>
  </si>
  <si>
    <t>A51874002</t>
  </si>
  <si>
    <t>A51874004</t>
  </si>
  <si>
    <t>A51874005</t>
  </si>
  <si>
    <t>A51874008</t>
  </si>
  <si>
    <t>A51874010</t>
  </si>
  <si>
    <t>A51874011</t>
  </si>
  <si>
    <t>A51874012</t>
  </si>
  <si>
    <t>A51874013</t>
  </si>
  <si>
    <t>A51874015</t>
  </si>
  <si>
    <t>A51874017</t>
  </si>
  <si>
    <t>A51874018</t>
  </si>
  <si>
    <t>A51874019</t>
  </si>
  <si>
    <t>A51874020</t>
  </si>
  <si>
    <t>A51874003</t>
  </si>
  <si>
    <t xml:space="preserve">                    Znalecké posudky, odměny z klinických hodnocení</t>
  </si>
  <si>
    <t>A51880</t>
  </si>
  <si>
    <t>A51880000</t>
  </si>
  <si>
    <t>A52111</t>
  </si>
  <si>
    <t>A52111000</t>
  </si>
  <si>
    <t>A52121</t>
  </si>
  <si>
    <t>A52121000</t>
  </si>
  <si>
    <t>A52128</t>
  </si>
  <si>
    <t>A52128000</t>
  </si>
  <si>
    <t>A52148</t>
  </si>
  <si>
    <t>A52148000</t>
  </si>
  <si>
    <t>A52401</t>
  </si>
  <si>
    <t>A52401000</t>
  </si>
  <si>
    <t>A52402</t>
  </si>
  <si>
    <t>A52402000</t>
  </si>
  <si>
    <t>A52510</t>
  </si>
  <si>
    <t>A52510000</t>
  </si>
  <si>
    <t>A52710</t>
  </si>
  <si>
    <t>A52710001</t>
  </si>
  <si>
    <t>A53100</t>
  </si>
  <si>
    <t>A53100001</t>
  </si>
  <si>
    <t>A53200</t>
  </si>
  <si>
    <t>A53200001</t>
  </si>
  <si>
    <t>A53801</t>
  </si>
  <si>
    <t>A53801006</t>
  </si>
  <si>
    <t>A54200</t>
  </si>
  <si>
    <t>A54200008</t>
  </si>
  <si>
    <t xml:space="preserve">                    Sankce-odvod za nedodrž.zaměstn.TZP</t>
  </si>
  <si>
    <t xml:space="preserve">           Prodaný materiál</t>
  </si>
  <si>
    <t>A54401</t>
  </si>
  <si>
    <t>A54401001</t>
  </si>
  <si>
    <t>A54401002</t>
  </si>
  <si>
    <t>A54401003</t>
  </si>
  <si>
    <t>A54908</t>
  </si>
  <si>
    <t>A54908001</t>
  </si>
  <si>
    <t>A54910</t>
  </si>
  <si>
    <t>A54910003</t>
  </si>
  <si>
    <t>A54910007</t>
  </si>
  <si>
    <t>A54910008</t>
  </si>
  <si>
    <t>A54910009</t>
  </si>
  <si>
    <t>A54910010</t>
  </si>
  <si>
    <t>A54910011</t>
  </si>
  <si>
    <t>A54910401</t>
  </si>
  <si>
    <t>A54911</t>
  </si>
  <si>
    <t>A54911001</t>
  </si>
  <si>
    <t>A54911002</t>
  </si>
  <si>
    <t>A54911003</t>
  </si>
  <si>
    <t>A54911004</t>
  </si>
  <si>
    <t xml:space="preserve">                    Pojištění - cestovní</t>
  </si>
  <si>
    <t>A54920</t>
  </si>
  <si>
    <t>A54920000</t>
  </si>
  <si>
    <t>A54921</t>
  </si>
  <si>
    <t>A54921000</t>
  </si>
  <si>
    <t>A54924</t>
  </si>
  <si>
    <t>A54924002</t>
  </si>
  <si>
    <t>A54925</t>
  </si>
  <si>
    <t>A54925000</t>
  </si>
  <si>
    <t>A54971</t>
  </si>
  <si>
    <t>A54971000</t>
  </si>
  <si>
    <t>A54972</t>
  </si>
  <si>
    <t>A54972000</t>
  </si>
  <si>
    <t>A54973</t>
  </si>
  <si>
    <t>A54973000</t>
  </si>
  <si>
    <t>A54977</t>
  </si>
  <si>
    <t>A54977000</t>
  </si>
  <si>
    <t>A54980</t>
  </si>
  <si>
    <t>A54980000</t>
  </si>
  <si>
    <t>A54999</t>
  </si>
  <si>
    <t>A54999000</t>
  </si>
  <si>
    <t>A55110</t>
  </si>
  <si>
    <t>A55110002</t>
  </si>
  <si>
    <t>A55110003</t>
  </si>
  <si>
    <t>A55110004</t>
  </si>
  <si>
    <t>A55110005</t>
  </si>
  <si>
    <t>A55110013</t>
  </si>
  <si>
    <t>A55110014</t>
  </si>
  <si>
    <t>A55110015</t>
  </si>
  <si>
    <t>A55120</t>
  </si>
  <si>
    <t>A55120004</t>
  </si>
  <si>
    <t>A55120003</t>
  </si>
  <si>
    <t>A55120014</t>
  </si>
  <si>
    <t>A55801</t>
  </si>
  <si>
    <t>A55801001</t>
  </si>
  <si>
    <t>A55802</t>
  </si>
  <si>
    <t>A55802001</t>
  </si>
  <si>
    <t>A55802002</t>
  </si>
  <si>
    <t>A55802003</t>
  </si>
  <si>
    <t>A55802005</t>
  </si>
  <si>
    <t>A55804</t>
  </si>
  <si>
    <t>A55804001</t>
  </si>
  <si>
    <t>A55804002</t>
  </si>
  <si>
    <t>A55805</t>
  </si>
  <si>
    <t>A55805001</t>
  </si>
  <si>
    <t>A55805002</t>
  </si>
  <si>
    <t>A55806</t>
  </si>
  <si>
    <t>A55806001</t>
  </si>
  <si>
    <t>A55828</t>
  </si>
  <si>
    <t>A55828001</t>
  </si>
  <si>
    <t xml:space="preserve">                    DDNM - software (sk.P_38)</t>
  </si>
  <si>
    <t>A56301</t>
  </si>
  <si>
    <t>A56301000</t>
  </si>
  <si>
    <t>A59100</t>
  </si>
  <si>
    <t>A59100000</t>
  </si>
  <si>
    <t>A60210</t>
  </si>
  <si>
    <t>A60210322</t>
  </si>
  <si>
    <t>A60210323</t>
  </si>
  <si>
    <t>A60210350</t>
  </si>
  <si>
    <t>A60210351</t>
  </si>
  <si>
    <t>A60210354</t>
  </si>
  <si>
    <t>A60210359</t>
  </si>
  <si>
    <t>A60227</t>
  </si>
  <si>
    <t>A60227200</t>
  </si>
  <si>
    <t>A60227300</t>
  </si>
  <si>
    <t>A60245</t>
  </si>
  <si>
    <t>A60245401</t>
  </si>
  <si>
    <t>A60245415</t>
  </si>
  <si>
    <t>A60401</t>
  </si>
  <si>
    <t>A60401001</t>
  </si>
  <si>
    <t xml:space="preserve">                    Kantýna - prodej</t>
  </si>
  <si>
    <t>A60401002</t>
  </si>
  <si>
    <t>A60450</t>
  </si>
  <si>
    <t>A60450360</t>
  </si>
  <si>
    <t>A60450361</t>
  </si>
  <si>
    <t>A60450363</t>
  </si>
  <si>
    <t>A60450365</t>
  </si>
  <si>
    <t>A60450366</t>
  </si>
  <si>
    <t>A60450368</t>
  </si>
  <si>
    <t>A60450370</t>
  </si>
  <si>
    <t>A60450377</t>
  </si>
  <si>
    <t>A60450383</t>
  </si>
  <si>
    <t>A60450384</t>
  </si>
  <si>
    <t>A60450560</t>
  </si>
  <si>
    <t>A60325</t>
  </si>
  <si>
    <t>A60325421</t>
  </si>
  <si>
    <t>A60325422</t>
  </si>
  <si>
    <t>A60325423</t>
  </si>
  <si>
    <t>A60325424</t>
  </si>
  <si>
    <t>A60325425</t>
  </si>
  <si>
    <t>A60325426</t>
  </si>
  <si>
    <t>A60910</t>
  </si>
  <si>
    <t>A60910320</t>
  </si>
  <si>
    <t>A64423</t>
  </si>
  <si>
    <t>A64423001</t>
  </si>
  <si>
    <t>A64423011</t>
  </si>
  <si>
    <t>A64423013</t>
  </si>
  <si>
    <t>A64423501</t>
  </si>
  <si>
    <t>A64803</t>
  </si>
  <si>
    <t>A64803000</t>
  </si>
  <si>
    <t>A64824</t>
  </si>
  <si>
    <t>A64824048</t>
  </si>
  <si>
    <t>A64824415</t>
  </si>
  <si>
    <t>A64908</t>
  </si>
  <si>
    <t>A64908007</t>
  </si>
  <si>
    <t>A64908009</t>
  </si>
  <si>
    <t>A64908512</t>
  </si>
  <si>
    <t>A64910</t>
  </si>
  <si>
    <t>A64910001</t>
  </si>
  <si>
    <t>A64910002</t>
  </si>
  <si>
    <t>A64910003</t>
  </si>
  <si>
    <t>A64910004</t>
  </si>
  <si>
    <t>A64924</t>
  </si>
  <si>
    <t>A64924401</t>
  </si>
  <si>
    <t>A64924403</t>
  </si>
  <si>
    <t>A64924411</t>
  </si>
  <si>
    <t>A64924413</t>
  </si>
  <si>
    <t>A64924437</t>
  </si>
  <si>
    <t>A64924438</t>
  </si>
  <si>
    <t>A64924439</t>
  </si>
  <si>
    <t>A64924440</t>
  </si>
  <si>
    <t>A64924441</t>
  </si>
  <si>
    <t>A64924442</t>
  </si>
  <si>
    <t>A64924443</t>
  </si>
  <si>
    <t>A64924444</t>
  </si>
  <si>
    <t>A64924445</t>
  </si>
  <si>
    <t>A64924446</t>
  </si>
  <si>
    <t>A64924449</t>
  </si>
  <si>
    <t>A64924451</t>
  </si>
  <si>
    <t>A64924459</t>
  </si>
  <si>
    <t>A64924460</t>
  </si>
  <si>
    <t>A64924511</t>
  </si>
  <si>
    <t>A64924549</t>
  </si>
  <si>
    <t>A64924447</t>
  </si>
  <si>
    <t xml:space="preserve">                    Ostatní provoz.sl. - hl.činnost (LPS)</t>
  </si>
  <si>
    <t>A64925</t>
  </si>
  <si>
    <t>A64925441</t>
  </si>
  <si>
    <t>A64925443</t>
  </si>
  <si>
    <t>A64925444</t>
  </si>
  <si>
    <t>A64925445</t>
  </si>
  <si>
    <t>A64925446</t>
  </si>
  <si>
    <t>A64925449</t>
  </si>
  <si>
    <t>A64980</t>
  </si>
  <si>
    <t>A64980001</t>
  </si>
  <si>
    <t>A66300</t>
  </si>
  <si>
    <t>A66300001</t>
  </si>
  <si>
    <t>Výnosy z transferů</t>
  </si>
  <si>
    <t>A67101</t>
  </si>
  <si>
    <t>A67101000</t>
  </si>
  <si>
    <t>A67101001</t>
  </si>
  <si>
    <t>A67101002</t>
  </si>
  <si>
    <t>A67101010</t>
  </si>
  <si>
    <t>A67101006</t>
  </si>
  <si>
    <t>A67101011</t>
  </si>
  <si>
    <t>A67102</t>
  </si>
  <si>
    <t>A67102001</t>
  </si>
  <si>
    <t>A67102002</t>
  </si>
  <si>
    <t>A67120</t>
  </si>
  <si>
    <t>A67120001</t>
  </si>
  <si>
    <t xml:space="preserve">            Výnosy z pronájmů</t>
  </si>
  <si>
    <t>(1-10)</t>
  </si>
  <si>
    <t>Doprava</t>
  </si>
  <si>
    <t>Suma</t>
  </si>
  <si>
    <t>Oddělení energetiky</t>
  </si>
  <si>
    <t>pára:</t>
  </si>
  <si>
    <t>EYER: Zrušení provozu na prádelně úspora cca 1500tis.Kč, plánovaná spotřeba nové HOK 650 tis.Kč, projeví se letos asi z 1/3. Pokud nám vyjde letošní odhad 51.500 tis.Kč, tak tom máme na příští rok 50.220 tis.Kč, předpokládaný nárůst ceny 7%, máme 53750tis.Kč a rezerva 850 tis., protože tak mírná zima byla naposledy v r.2014.</t>
  </si>
  <si>
    <t>Odbor investic</t>
  </si>
  <si>
    <t>2019: Tabulový vrch 11.817.991,- Kč, stará vrátnice 2.335.756,- Kč, Interna 5.860.298,- Kč (20.014.045,- Kč)</t>
  </si>
  <si>
    <t>700 tis. demolice vojenské vrátnice, 1.000 tis. demolice skladu pod TU, 1.500 tis. demolice objektu v areálu Balus, 700 tis. demolice skladu vedle OIN, 2000 tis. demolice krechtu u WD, 100 tis. demolice chlorovny odpadních vod.</t>
  </si>
  <si>
    <t>ZC 344 038 Kč</t>
  </si>
  <si>
    <t>Oddělení oprav a údržby</t>
  </si>
  <si>
    <t>sum s OVEH</t>
  </si>
  <si>
    <t>2019: prádelna 5.421,00</t>
  </si>
  <si>
    <t>rozděleno .. 511 02 032</t>
  </si>
  <si>
    <t>rozděleno ..511 02 033,511 02 034</t>
  </si>
  <si>
    <t>Odbor provozu a služeb</t>
  </si>
  <si>
    <t>rezerva 200 tis.</t>
  </si>
  <si>
    <t>2019: zaparkováno 1.700 tis. Kč</t>
  </si>
  <si>
    <t>2019: prádelna 51.165,-</t>
  </si>
  <si>
    <t>nárůst úklid</t>
  </si>
  <si>
    <t>rezerva 200 tis. Kč</t>
  </si>
  <si>
    <t>2019: prádelna 2.880,-</t>
  </si>
  <si>
    <t>nová smlouva</t>
  </si>
  <si>
    <t>nárůst mezd</t>
  </si>
  <si>
    <t>navýšení prostor</t>
  </si>
  <si>
    <t>suma</t>
  </si>
  <si>
    <t>Oddělení spravy budov</t>
  </si>
  <si>
    <t>2019: zaparkováno 14.000 tis. Kč</t>
  </si>
  <si>
    <t>Oddělení servisu a kontrol</t>
  </si>
  <si>
    <t>rozděleno .. 518 08 021</t>
  </si>
  <si>
    <t>rozděleno .. 518 08 020</t>
  </si>
  <si>
    <t>Odbor energetiky a vodního hospodářství</t>
  </si>
  <si>
    <t>opravy vodní hospodářství</t>
  </si>
  <si>
    <t xml:space="preserve">oprava šoupat v kolektoru (havarijní stav) DN 300 x 4 (šachta 1,20, 9,) - 700 000,-Kč </t>
  </si>
  <si>
    <t>Šachta 14 rekonstrukce odtokového kanálu 150 000,-Kč</t>
  </si>
  <si>
    <t>z A511 02 023</t>
  </si>
  <si>
    <t xml:space="preserve">Šachta 7 výměna uzávěru 100 000,-Kč </t>
  </si>
  <si>
    <t xml:space="preserve">Rozdělovací šachta ČOV oprava šibru 50 000,-Kč </t>
  </si>
  <si>
    <t>opravy havárie  500 000,-Kč</t>
  </si>
  <si>
    <t>Všeobecný materiál</t>
  </si>
  <si>
    <t>nedodáno</t>
  </si>
  <si>
    <t>2019: prádelna 265.334,34</t>
  </si>
  <si>
    <t>nárůst nábytek</t>
  </si>
  <si>
    <t>nový HOK</t>
  </si>
  <si>
    <t>dětská JIRP</t>
  </si>
  <si>
    <t>sklad potravin</t>
  </si>
  <si>
    <t>- mimořádnosti</t>
  </si>
  <si>
    <t>prádelna</t>
  </si>
  <si>
    <t>navýšení úklid</t>
  </si>
  <si>
    <t>demolice</t>
  </si>
  <si>
    <t>navýšení praní prádla</t>
  </si>
  <si>
    <t>PLÁN 2019</t>
  </si>
  <si>
    <t>NÁVRH 2020</t>
  </si>
  <si>
    <t>- nečerpaná rezerva</t>
  </si>
  <si>
    <t>Bez úklidu a praní prádla</t>
  </si>
  <si>
    <t>rozdíl</t>
  </si>
  <si>
    <t>Navýšení po zohl. 2019</t>
  </si>
  <si>
    <t>CELKOVÉ plánované navýšení bez mimořádností 2019</t>
  </si>
  <si>
    <t>reálné plánované navýšení, ambice snížit o 18 mil Kč, navýšení pak 19 mil. Kč</t>
  </si>
  <si>
    <t>z 18 mil. Kč - nechat rezervu min 8 mil. Kč</t>
  </si>
  <si>
    <t>AMBICE snížení plánu o</t>
  </si>
  <si>
    <t>na ABS hodnotu</t>
  </si>
  <si>
    <t xml:space="preserve">tj. reálný nárůst o </t>
  </si>
  <si>
    <t>bez mimořádností 2019</t>
  </si>
  <si>
    <t xml:space="preserve">v tom nárůst </t>
  </si>
  <si>
    <t>úklid</t>
  </si>
  <si>
    <t>praní prádla</t>
  </si>
  <si>
    <t>bez úklidu praní prádla</t>
  </si>
  <si>
    <t>v tom rezerva</t>
  </si>
  <si>
    <t>rezerva nová:</t>
  </si>
  <si>
    <t>REAL navýšení bez rezervy</t>
  </si>
  <si>
    <t>toto pokryje DDHM nábytek a demolice (6+6mil.)</t>
  </si>
  <si>
    <t>Pozor nutno přesně identifikovat praní prádla, vlastní prádlo do dubna 2019, je možná rezerva 6.137 tis. Kč</t>
  </si>
  <si>
    <t>Nutno kalendarizovat.</t>
  </si>
  <si>
    <t>Foks rozhodit dle výkonnosti na pojišťovny.</t>
  </si>
  <si>
    <t>Prověřit končící technologie a servisní náklady. (nárůst, úspora)</t>
  </si>
  <si>
    <t>Energie - úspora z prádelny cca 2 mil, jsem připraveni přesunout do rezrvy cca 500 tis. oproti Eyerovi, ten tvrdí 1,5 milk</t>
  </si>
  <si>
    <t>Probrat elektrickou energii.</t>
  </si>
  <si>
    <t>L. Olejníček - přesun úspor z energií a praní prádla 50 na 50% (rezerva - navýšení)</t>
  </si>
  <si>
    <t>Potenciál až 10 mil. Kč</t>
  </si>
  <si>
    <t>Lékárna</t>
  </si>
  <si>
    <t>oproti</t>
  </si>
  <si>
    <t>plán 2019</t>
  </si>
  <si>
    <t>skutečnost 2018</t>
  </si>
  <si>
    <t>skutečnost 2019</t>
  </si>
  <si>
    <t>602 27 200</t>
  </si>
  <si>
    <t>ředění cytostatik</t>
  </si>
  <si>
    <t xml:space="preserve">Z528 - zvýšené cytosety o 1,5 mil kč (myslím, že ONK je do nákladů nedala) </t>
  </si>
  <si>
    <t>celá 504</t>
  </si>
  <si>
    <t>N:</t>
  </si>
  <si>
    <t>celá 604</t>
  </si>
  <si>
    <t>V:</t>
  </si>
  <si>
    <t>Odbor nákupu léků a diagnostik</t>
  </si>
  <si>
    <t>CÍLENÉ snížení požadavků na nákup DDHM u jedn.garantů</t>
  </si>
  <si>
    <t>mil. Kč</t>
  </si>
  <si>
    <t xml:space="preserve">   z toho zdr. prostř.z 25 mil. Kč na 15,5 mil. Kč (proti 2018 +cca 3,2 mil. Kč)</t>
  </si>
  <si>
    <t>Odbor nákupu zdravotní techniky a ZPr</t>
  </si>
  <si>
    <t>2019: zaparkováno 5.500 tis. Kč</t>
  </si>
  <si>
    <t xml:space="preserve">                IT  14,9 mil. Kč na 10,9 mil. Kč (proti 2018 + cca 3 mil. Kč)</t>
  </si>
  <si>
    <t>KOMBINACE přesunu do rezervy a skutečného snížení</t>
  </si>
  <si>
    <t>SKUTEČNÉ SNÍŽENÍ plánu účtu 558                             (DDHM - zdrav.prostředky)</t>
  </si>
  <si>
    <t>Číslo</t>
  </si>
  <si>
    <t>Název</t>
  </si>
  <si>
    <t>Předp. 2018</t>
  </si>
  <si>
    <t>PLÁN - BP 2019</t>
  </si>
  <si>
    <t>Hodnota</t>
  </si>
  <si>
    <t>Index</t>
  </si>
  <si>
    <t>Ruční vstupy</t>
  </si>
  <si>
    <t>Mgr. Čech</t>
  </si>
  <si>
    <t>účtu</t>
  </si>
  <si>
    <t>ukazatele</t>
  </si>
  <si>
    <t>1 - 11 / 2018</t>
  </si>
  <si>
    <t>BP 2019 - Předp. 2018</t>
  </si>
  <si>
    <t>BP 2019 / Předp. 2018</t>
  </si>
  <si>
    <t>KOREKCE 2019</t>
  </si>
  <si>
    <t>rezerva</t>
  </si>
  <si>
    <t>558 01 ***</t>
  </si>
  <si>
    <t>celkem DDHM zdravotnický</t>
  </si>
  <si>
    <t>v tom na pomocném NS REZERVA</t>
  </si>
  <si>
    <t>REAL BUDGET</t>
  </si>
  <si>
    <t>REÁLNÝ NÁRŮST</t>
  </si>
  <si>
    <t>reálné navýšení</t>
  </si>
  <si>
    <t>reálné navýšení, ambice snížit o 18 mil Kč, navýšení pak 14,5 mil na 30 mil. Kč</t>
  </si>
  <si>
    <t>BUDGET 2020 PŘEDPOKLAD</t>
  </si>
  <si>
    <t>ROZPOČET</t>
  </si>
  <si>
    <t>REZERVA</t>
  </si>
  <si>
    <t xml:space="preserve">tj. meziročná nárůst o </t>
  </si>
  <si>
    <t>Odbor marketingu</t>
  </si>
  <si>
    <t>nárůst</t>
  </si>
  <si>
    <t>pohoštění 300 tis, propagace 600 tis., konference nájem 300 tis, inzerce 100 tis.</t>
  </si>
  <si>
    <t>pokles</t>
  </si>
  <si>
    <t>marketingové akce</t>
  </si>
  <si>
    <t>výnos</t>
  </si>
  <si>
    <t>celkem</t>
  </si>
  <si>
    <t>ambice snížení N o 500 tis. kč</t>
  </si>
  <si>
    <t>(1-11)</t>
  </si>
  <si>
    <t>před závěrkou</t>
  </si>
  <si>
    <t>Odbor rozvoje a správy systémů a telekomunikací</t>
  </si>
  <si>
    <t>zvýšení</t>
  </si>
  <si>
    <t>???</t>
  </si>
  <si>
    <t>snížení</t>
  </si>
  <si>
    <t xml:space="preserve">Miklík - nejvetší položka Office Standard 2019 SNGL MVL - 40 mil.Kč  , krabicové Office program  MS Select (1800 licenci starých licencí), cílem postupně nahrazovat staré, budou se nahrazovat, dříve nákup studentské verze, cena byla cca 6.500 Kč, </t>
  </si>
  <si>
    <t>Odbor rozvoje správy aplikací</t>
  </si>
  <si>
    <t>návrh dle Ing. Miklíka 61 594 tis.Kč, po zhodlenění časového rozličení nákladově pro rok 2020, přidáno časové rozlišení na licence 1200 tis kč.</t>
  </si>
  <si>
    <t>zbývá</t>
  </si>
  <si>
    <t>IT nemělo v 2019 žádné mimořádnosti???</t>
  </si>
  <si>
    <t>ambice snížení plánu o 2019</t>
  </si>
  <si>
    <t>Nutno položková kontrola plánu 2019</t>
  </si>
  <si>
    <t>nutno najít ještě 2.277.000,- Kč úspor, úkol pro IT</t>
  </si>
  <si>
    <t>na úrovni plánu 2019</t>
  </si>
  <si>
    <t>Mimořádnosti 2019, zahrnuty v rozpočtu 2020:</t>
  </si>
  <si>
    <t>Compu Group Medical česká republika</t>
  </si>
  <si>
    <t>mimo rozpočet</t>
  </si>
  <si>
    <t>provozní podpora PC Dent (dohoda o převodu uživatelských  práv s Univerzitou)</t>
  </si>
  <si>
    <t xml:space="preserve">měsíční platba </t>
  </si>
  <si>
    <t>IVAR a.s.- podpora SchiftMaster</t>
  </si>
  <si>
    <t>navýšení licencí o 250</t>
  </si>
  <si>
    <t>měsíční platba</t>
  </si>
  <si>
    <t>konzultováno s Ing. Gartnerem</t>
  </si>
  <si>
    <t>Mediware a.s.</t>
  </si>
  <si>
    <t>2 licence MPWPhram++, licenční smlouva s LF</t>
  </si>
  <si>
    <t>roční platba</t>
  </si>
  <si>
    <t>MERIT GROUP</t>
  </si>
  <si>
    <t>z jiné položky - Software One- Microsoft licence</t>
  </si>
  <si>
    <t>prodloužení podpory SW Veem Backzp Enterprise</t>
  </si>
  <si>
    <t>v roce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</si>
</sst>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A\5#,0\1\1\500\7"/>
    <numFmt numFmtId="165" formatCode="0.0%"/>
    <numFmt numFmtId="166" formatCode="0.0000%"/>
    <numFmt numFmtId="167" formatCode="#,##0.0"/>
    <numFmt numFmtId="168" formatCode="0.0"/>
  </numFmts>
  <fonts count="10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10"/>
      <color indexed="1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color indexed="81"/>
      <name val="Calibri"/>
      <family val="2"/>
      <charset val="238"/>
      <scheme val="minor"/>
    </font>
    <font>
      <sz val="8"/>
      <color indexed="81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00B050"/>
      <name val="Calibri"/>
      <family val="2"/>
      <charset val="238"/>
    </font>
    <font>
      <b/>
      <sz val="10"/>
      <color theme="0"/>
      <name val="Calibri"/>
      <family val="2"/>
      <charset val="238"/>
    </font>
    <font>
      <b/>
      <sz val="9"/>
      <color theme="0"/>
      <name val="Calibri"/>
      <family val="2"/>
      <charset val="238"/>
    </font>
    <font>
      <b/>
      <sz val="11"/>
      <color rgb="FFFFFF00"/>
      <name val="Calibri"/>
      <family val="2"/>
      <charset val="238"/>
    </font>
    <font>
      <b/>
      <sz val="11"/>
      <color rgb="FFFFFF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</font>
    <font>
      <b/>
      <i/>
      <sz val="10"/>
      <color theme="0"/>
      <name val="Calibri"/>
      <family val="2"/>
      <charset val="238"/>
      <scheme val="minor"/>
    </font>
    <font>
      <b/>
      <i/>
      <sz val="11"/>
      <color rgb="FF00B050"/>
      <name val="Calibri"/>
      <family val="2"/>
      <charset val="238"/>
      <scheme val="minor"/>
    </font>
    <font>
      <b/>
      <i/>
      <sz val="10"/>
      <color rgb="FFFFFF00"/>
      <name val="Calibri"/>
      <family val="2"/>
      <charset val="238"/>
    </font>
    <font>
      <b/>
      <i/>
      <sz val="11"/>
      <color rgb="FFFFFF00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9"/>
      <color theme="5" tint="-0.249977111117893"/>
      <name val="Calibri"/>
      <family val="2"/>
      <charset val="238"/>
      <scheme val="minor"/>
    </font>
    <font>
      <b/>
      <sz val="18"/>
      <color rgb="FFFF0000"/>
      <name val="Bookman Old Style"/>
      <family val="1"/>
      <charset val="238"/>
    </font>
    <font>
      <b/>
      <sz val="36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indexed="9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8" tint="-0.499984740745262"/>
      <name val="Calibri"/>
      <family val="2"/>
      <charset val="238"/>
      <scheme val="minor"/>
    </font>
    <font>
      <i/>
      <sz val="11"/>
      <color theme="8" tint="-0.499984740745262"/>
      <name val="Calibri"/>
      <family val="2"/>
      <charset val="238"/>
      <scheme val="minor"/>
    </font>
    <font>
      <b/>
      <sz val="10"/>
      <color theme="5" tint="-0.249977111117893"/>
      <name val="Calibri"/>
      <family val="2"/>
      <charset val="238"/>
      <scheme val="minor"/>
    </font>
    <font>
      <b/>
      <sz val="10"/>
      <color rgb="FFFFFF00"/>
      <name val="Calibri"/>
      <family val="2"/>
      <charset val="238"/>
      <scheme val="minor"/>
    </font>
    <font>
      <b/>
      <sz val="9"/>
      <color indexed="9"/>
      <name val="Tahoma"/>
      <family val="2"/>
      <charset val="238"/>
    </font>
    <font>
      <sz val="9"/>
      <color indexed="9"/>
      <name val="Tahoma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0"/>
      <color theme="9" tint="0.7999816888943144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4" tint="0.3999755851924192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u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theme="9" tint="0.79998168889431442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b/>
      <sz val="10"/>
      <color theme="3"/>
      <name val="Calibri"/>
      <family val="2"/>
      <charset val="238"/>
      <scheme val="minor"/>
    </font>
    <font>
      <sz val="9"/>
      <color theme="3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color theme="3"/>
      <name val="Calibri"/>
      <family val="2"/>
      <charset val="238"/>
      <scheme val="minor"/>
    </font>
    <font>
      <sz val="10"/>
      <color indexed="8"/>
      <name val="Arial Narrow"/>
      <family val="2"/>
      <charset val="238"/>
    </font>
    <font>
      <b/>
      <sz val="10"/>
      <color theme="3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10"/>
      <color theme="3"/>
      <name val="Arial"/>
      <family val="2"/>
      <charset val="238"/>
    </font>
    <font>
      <i/>
      <sz val="10"/>
      <color rgb="FF0070C0"/>
      <name val="Arial"/>
      <family val="2"/>
      <charset val="238"/>
    </font>
    <font>
      <sz val="10"/>
      <color theme="1" tint="0.499984740745262"/>
      <name val="Calibri"/>
      <family val="2"/>
      <charset val="238"/>
    </font>
    <font>
      <sz val="11"/>
      <color theme="1" tint="0.49998474074526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rgb="FFF5F5F5"/>
        </stop>
        <stop position="1">
          <color theme="0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theme="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1FF74"/>
        <bgColor indexed="64"/>
      </patternFill>
    </fill>
    <fill>
      <patternFill patternType="solid">
        <fgColor rgb="FFF2C506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86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hair">
        <color indexed="27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27"/>
      </left>
      <right style="medium">
        <color indexed="27"/>
      </right>
      <top style="dashed">
        <color indexed="27"/>
      </top>
      <bottom style="dashed">
        <color indexed="27"/>
      </bottom>
      <diagonal/>
    </border>
    <border>
      <left style="medium">
        <color indexed="27"/>
      </left>
      <right style="medium">
        <color indexed="27"/>
      </right>
      <top style="dashed">
        <color indexed="27"/>
      </top>
      <bottom style="medium">
        <color indexed="27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27"/>
      </left>
      <right style="medium">
        <color indexed="27"/>
      </right>
      <top style="medium">
        <color indexed="27"/>
      </top>
      <bottom style="hair">
        <color indexed="27"/>
      </bottom>
      <diagonal/>
    </border>
    <border>
      <left style="hair">
        <color indexed="27"/>
      </left>
      <right style="medium">
        <color indexed="27"/>
      </right>
      <top style="medium">
        <color indexed="27"/>
      </top>
      <bottom style="hair">
        <color indexed="27"/>
      </bottom>
      <diagonal/>
    </border>
    <border>
      <left style="medium">
        <color indexed="27"/>
      </left>
      <right style="medium">
        <color indexed="27"/>
      </right>
      <top style="hair">
        <color indexed="27"/>
      </top>
      <bottom style="hair">
        <color indexed="27"/>
      </bottom>
      <diagonal/>
    </border>
    <border>
      <left style="medium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theme="1"/>
      </top>
      <bottom style="hair">
        <color theme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27"/>
      </left>
      <right/>
      <top style="medium">
        <color indexed="27"/>
      </top>
      <bottom style="dashed">
        <color indexed="27"/>
      </bottom>
      <diagonal/>
    </border>
    <border>
      <left style="medium">
        <color indexed="27"/>
      </left>
      <right/>
      <top style="dashed">
        <color indexed="27"/>
      </top>
      <bottom style="dashed">
        <color indexed="27"/>
      </bottom>
      <diagonal/>
    </border>
    <border>
      <left style="medium">
        <color indexed="27"/>
      </left>
      <right/>
      <top style="dashed">
        <color indexed="27"/>
      </top>
      <bottom style="medium">
        <color indexed="27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auto="1"/>
      </left>
      <right/>
      <top/>
      <bottom style="double">
        <color rgb="FFFFFF00"/>
      </bottom>
      <diagonal/>
    </border>
    <border>
      <left style="medium">
        <color indexed="27"/>
      </left>
      <right style="medium">
        <color indexed="27"/>
      </right>
      <top/>
      <bottom style="medium">
        <color indexed="27"/>
      </bottom>
      <diagonal/>
    </border>
    <border>
      <left style="medium">
        <color indexed="27"/>
      </left>
      <right style="medium">
        <color indexed="27"/>
      </right>
      <top style="dashed">
        <color indexed="27"/>
      </top>
      <bottom/>
      <diagonal/>
    </border>
    <border>
      <left style="hair">
        <color auto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theme="1"/>
      </bottom>
      <diagonal/>
    </border>
    <border>
      <left/>
      <right style="hair">
        <color theme="1"/>
      </right>
      <top style="hair">
        <color auto="1"/>
      </top>
      <bottom style="hair">
        <color theme="1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3"/>
      </left>
      <right style="medium">
        <color theme="3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2" borderId="0"/>
    <xf numFmtId="4" fontId="5" fillId="3" borderId="1"/>
    <xf numFmtId="0" fontId="5" fillId="3" borderId="0">
      <alignment horizontal="left"/>
    </xf>
    <xf numFmtId="0" fontId="5" fillId="2" borderId="0">
      <alignment horizontal="left"/>
    </xf>
    <xf numFmtId="0" fontId="9" fillId="8" borderId="0" applyNumberFormat="0" applyBorder="0" applyAlignment="0" applyProtection="0"/>
    <xf numFmtId="9" fontId="39" fillId="0" borderId="0" applyFont="0" applyFill="0" applyBorder="0" applyAlignment="0" applyProtection="0"/>
  </cellStyleXfs>
  <cellXfs count="646">
    <xf numFmtId="0" fontId="0" fillId="0" borderId="0" xfId="0"/>
    <xf numFmtId="0" fontId="6" fillId="4" borderId="0" xfId="0" applyFont="1" applyFill="1" applyBorder="1" applyAlignment="1">
      <alignment horizontal="right"/>
    </xf>
    <xf numFmtId="0" fontId="6" fillId="5" borderId="2" xfId="3" applyFont="1" applyFill="1" applyBorder="1" applyAlignment="1">
      <alignment horizontal="center" shrinkToFit="1"/>
    </xf>
    <xf numFmtId="0" fontId="4" fillId="4" borderId="5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/>
    <xf numFmtId="0" fontId="8" fillId="4" borderId="0" xfId="0" applyFont="1" applyFill="1" applyBorder="1" applyAlignment="1">
      <alignment horizontal="left" vertical="center"/>
    </xf>
    <xf numFmtId="0" fontId="4" fillId="5" borderId="8" xfId="3" applyFont="1" applyFill="1" applyBorder="1" applyAlignment="1">
      <alignment horizontal="center" shrinkToFit="1"/>
    </xf>
    <xf numFmtId="0" fontId="4" fillId="5" borderId="2" xfId="3" applyFont="1" applyFill="1" applyBorder="1" applyAlignment="1">
      <alignment horizontal="center" shrinkToFit="1"/>
    </xf>
    <xf numFmtId="0" fontId="4" fillId="4" borderId="0" xfId="0" applyFont="1" applyFill="1" applyBorder="1" applyAlignment="1">
      <alignment wrapText="1"/>
    </xf>
    <xf numFmtId="3" fontId="4" fillId="7" borderId="9" xfId="4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4" applyFont="1" applyFill="1" applyBorder="1">
      <alignment horizontal="left"/>
    </xf>
    <xf numFmtId="0" fontId="4" fillId="0" borderId="0" xfId="4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Border="1"/>
    <xf numFmtId="3" fontId="4" fillId="9" borderId="9" xfId="4" applyNumberFormat="1" applyFont="1" applyFill="1" applyBorder="1" applyAlignment="1">
      <alignment horizontal="right"/>
    </xf>
    <xf numFmtId="49" fontId="11" fillId="0" borderId="0" xfId="0" applyNumberFormat="1" applyFont="1" applyBorder="1" applyAlignment="1">
      <alignment horizontal="center"/>
    </xf>
    <xf numFmtId="49" fontId="11" fillId="9" borderId="0" xfId="0" applyNumberFormat="1" applyFont="1" applyFill="1" applyBorder="1" applyAlignment="1">
      <alignment horizontal="center"/>
    </xf>
    <xf numFmtId="0" fontId="4" fillId="10" borderId="0" xfId="0" applyFont="1" applyFill="1" applyBorder="1"/>
    <xf numFmtId="0" fontId="4" fillId="11" borderId="0" xfId="0" applyFont="1" applyFill="1" applyBorder="1"/>
    <xf numFmtId="0" fontId="2" fillId="11" borderId="0" xfId="4" applyFont="1" applyFill="1" applyBorder="1">
      <alignment horizontal="left"/>
    </xf>
    <xf numFmtId="3" fontId="4" fillId="11" borderId="9" xfId="4" applyNumberFormat="1" applyFont="1" applyFill="1" applyBorder="1" applyAlignment="1">
      <alignment horizontal="right"/>
    </xf>
    <xf numFmtId="0" fontId="6" fillId="11" borderId="0" xfId="4" applyFont="1" applyFill="1" applyBorder="1">
      <alignment horizontal="left"/>
    </xf>
    <xf numFmtId="0" fontId="11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/>
    </xf>
    <xf numFmtId="0" fontId="11" fillId="9" borderId="0" xfId="0" applyFont="1" applyFill="1" applyBorder="1" applyAlignment="1">
      <alignment horizontal="center" vertical="center" wrapText="1"/>
    </xf>
    <xf numFmtId="49" fontId="4" fillId="9" borderId="0" xfId="0" applyNumberFormat="1" applyFont="1" applyFill="1" applyBorder="1" applyAlignment="1">
      <alignment horizontal="center"/>
    </xf>
    <xf numFmtId="0" fontId="4" fillId="11" borderId="0" xfId="0" applyFont="1" applyFill="1" applyBorder="1" applyAlignment="1">
      <alignment horizontal="center" vertical="center" wrapText="1"/>
    </xf>
    <xf numFmtId="49" fontId="4" fillId="11" borderId="0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5" applyNumberFormat="1" applyFont="1" applyFill="1" applyBorder="1" applyAlignment="1">
      <alignment horizontal="center"/>
    </xf>
    <xf numFmtId="0" fontId="2" fillId="10" borderId="0" xfId="4" applyFont="1" applyFill="1" applyBorder="1">
      <alignment horizontal="left"/>
    </xf>
    <xf numFmtId="3" fontId="4" fillId="10" borderId="9" xfId="4" applyNumberFormat="1" applyFont="1" applyFill="1" applyBorder="1" applyAlignment="1">
      <alignment horizontal="right"/>
    </xf>
    <xf numFmtId="0" fontId="6" fillId="10" borderId="0" xfId="4" applyFont="1" applyFill="1" applyBorder="1">
      <alignment horizontal="left"/>
    </xf>
    <xf numFmtId="3" fontId="4" fillId="13" borderId="9" xfId="4" applyNumberFormat="1" applyFont="1" applyFill="1" applyBorder="1" applyAlignment="1">
      <alignment horizontal="right"/>
    </xf>
    <xf numFmtId="0" fontId="4" fillId="14" borderId="0" xfId="0" applyFont="1" applyFill="1" applyBorder="1"/>
    <xf numFmtId="0" fontId="6" fillId="14" borderId="0" xfId="4" applyFont="1" applyFill="1" applyBorder="1">
      <alignment horizontal="left"/>
    </xf>
    <xf numFmtId="0" fontId="6" fillId="0" borderId="0" xfId="4" applyFont="1" applyFill="1" applyBorder="1">
      <alignment horizontal="left"/>
    </xf>
    <xf numFmtId="3" fontId="6" fillId="14" borderId="9" xfId="4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 wrapText="1"/>
    </xf>
    <xf numFmtId="164" fontId="6" fillId="0" borderId="0" xfId="4" applyNumberFormat="1" applyFont="1" applyFill="1" applyBorder="1">
      <alignment horizontal="left"/>
    </xf>
    <xf numFmtId="0" fontId="2" fillId="15" borderId="0" xfId="4" applyFont="1" applyFill="1" applyBorder="1">
      <alignment horizontal="left"/>
    </xf>
    <xf numFmtId="0" fontId="4" fillId="15" borderId="0" xfId="0" applyFont="1" applyFill="1" applyBorder="1"/>
    <xf numFmtId="0" fontId="6" fillId="15" borderId="0" xfId="4" applyFont="1" applyFill="1" applyBorder="1">
      <alignment horizontal="left"/>
    </xf>
    <xf numFmtId="0" fontId="4" fillId="16" borderId="0" xfId="0" applyFont="1" applyFill="1" applyBorder="1"/>
    <xf numFmtId="3" fontId="4" fillId="16" borderId="9" xfId="4" applyNumberFormat="1" applyFont="1" applyFill="1" applyBorder="1" applyAlignment="1">
      <alignment horizontal="right"/>
    </xf>
    <xf numFmtId="0" fontId="6" fillId="16" borderId="0" xfId="4" applyFont="1" applyFill="1" applyBorder="1">
      <alignment horizontal="left"/>
    </xf>
    <xf numFmtId="3" fontId="4" fillId="17" borderId="9" xfId="4" applyNumberFormat="1" applyFont="1" applyFill="1" applyBorder="1" applyAlignment="1">
      <alignment horizontal="right"/>
    </xf>
    <xf numFmtId="0" fontId="4" fillId="18" borderId="0" xfId="0" applyFont="1" applyFill="1" applyBorder="1"/>
    <xf numFmtId="3" fontId="4" fillId="18" borderId="9" xfId="4" applyNumberFormat="1" applyFont="1" applyFill="1" applyBorder="1" applyAlignment="1">
      <alignment horizontal="right"/>
    </xf>
    <xf numFmtId="0" fontId="6" fillId="18" borderId="0" xfId="4" applyFont="1" applyFill="1" applyBorder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3" fontId="4" fillId="0" borderId="9" xfId="4" applyNumberFormat="1" applyFont="1" applyFill="1" applyBorder="1" applyAlignment="1">
      <alignment horizontal="right"/>
    </xf>
    <xf numFmtId="0" fontId="6" fillId="19" borderId="0" xfId="4" applyFont="1" applyFill="1" applyBorder="1">
      <alignment horizontal="left"/>
    </xf>
    <xf numFmtId="0" fontId="4" fillId="19" borderId="0" xfId="0" applyFont="1" applyFill="1" applyBorder="1"/>
    <xf numFmtId="0" fontId="2" fillId="19" borderId="0" xfId="4" applyFont="1" applyFill="1" applyBorder="1">
      <alignment horizontal="left"/>
    </xf>
    <xf numFmtId="3" fontId="4" fillId="19" borderId="9" xfId="4" applyNumberFormat="1" applyFont="1" applyFill="1" applyBorder="1" applyAlignment="1">
      <alignment horizontal="right"/>
    </xf>
    <xf numFmtId="0" fontId="6" fillId="20" borderId="0" xfId="4" applyFont="1" applyFill="1" applyBorder="1">
      <alignment horizontal="left"/>
    </xf>
    <xf numFmtId="0" fontId="4" fillId="20" borderId="0" xfId="0" applyFont="1" applyFill="1" applyBorder="1"/>
    <xf numFmtId="3" fontId="4" fillId="4" borderId="6" xfId="0" applyNumberFormat="1" applyFont="1" applyFill="1" applyBorder="1"/>
    <xf numFmtId="3" fontId="4" fillId="4" borderId="7" xfId="0" applyNumberFormat="1" applyFont="1" applyFill="1" applyBorder="1" applyAlignment="1">
      <alignment vertical="center"/>
    </xf>
    <xf numFmtId="3" fontId="4" fillId="4" borderId="7" xfId="0" applyNumberFormat="1" applyFont="1" applyFill="1" applyBorder="1"/>
    <xf numFmtId="3" fontId="0" fillId="0" borderId="0" xfId="0" applyNumberFormat="1"/>
    <xf numFmtId="1" fontId="4" fillId="4" borderId="12" xfId="0" applyNumberFormat="1" applyFont="1" applyFill="1" applyBorder="1" applyAlignment="1">
      <alignment horizontal="center"/>
    </xf>
    <xf numFmtId="3" fontId="4" fillId="4" borderId="13" xfId="0" applyNumberFormat="1" applyFont="1" applyFill="1" applyBorder="1"/>
    <xf numFmtId="0" fontId="0" fillId="0" borderId="0" xfId="0" applyBorder="1"/>
    <xf numFmtId="0" fontId="4" fillId="5" borderId="0" xfId="3" applyFont="1" applyFill="1" applyBorder="1" applyAlignment="1">
      <alignment horizontal="center" vertical="center" shrinkToFit="1"/>
    </xf>
    <xf numFmtId="0" fontId="0" fillId="0" borderId="12" xfId="0" applyBorder="1"/>
    <xf numFmtId="0" fontId="0" fillId="0" borderId="13" xfId="0" applyBorder="1"/>
    <xf numFmtId="0" fontId="4" fillId="5" borderId="12" xfId="3" applyFont="1" applyFill="1" applyBorder="1" applyAlignment="1">
      <alignment horizontal="center" shrinkToFit="1"/>
    </xf>
    <xf numFmtId="0" fontId="3" fillId="12" borderId="0" xfId="0" applyFont="1" applyFill="1" applyBorder="1"/>
    <xf numFmtId="0" fontId="3" fillId="12" borderId="0" xfId="0" applyFont="1" applyFill="1" applyBorder="1" applyAlignment="1"/>
    <xf numFmtId="0" fontId="3" fillId="12" borderId="0" xfId="0" applyFont="1" applyFill="1" applyBorder="1" applyAlignment="1">
      <alignment vertical="center"/>
    </xf>
    <xf numFmtId="0" fontId="6" fillId="12" borderId="0" xfId="0" applyFont="1" applyFill="1" applyBorder="1" applyAlignment="1">
      <alignment horizontal="right" vertical="center"/>
    </xf>
    <xf numFmtId="0" fontId="4" fillId="12" borderId="0" xfId="0" applyFont="1" applyFill="1" applyBorder="1"/>
    <xf numFmtId="0" fontId="6" fillId="12" borderId="0" xfId="0" applyFont="1" applyFill="1" applyBorder="1" applyAlignment="1">
      <alignment horizontal="center"/>
    </xf>
    <xf numFmtId="0" fontId="0" fillId="12" borderId="0" xfId="0" applyFill="1" applyBorder="1"/>
    <xf numFmtId="0" fontId="0" fillId="12" borderId="0" xfId="0" applyFill="1"/>
    <xf numFmtId="0" fontId="6" fillId="9" borderId="0" xfId="4" applyFont="1" applyFill="1" applyBorder="1">
      <alignment horizontal="left"/>
    </xf>
    <xf numFmtId="3" fontId="4" fillId="9" borderId="11" xfId="4" applyNumberFormat="1" applyFont="1" applyFill="1" applyBorder="1" applyAlignment="1">
      <alignment horizontal="right"/>
    </xf>
    <xf numFmtId="3" fontId="4" fillId="7" borderId="11" xfId="4" applyNumberFormat="1" applyFont="1" applyFill="1" applyBorder="1" applyAlignment="1">
      <alignment horizontal="right"/>
    </xf>
    <xf numFmtId="0" fontId="4" fillId="21" borderId="0" xfId="0" applyFont="1" applyFill="1" applyBorder="1"/>
    <xf numFmtId="3" fontId="4" fillId="21" borderId="0" xfId="0" applyNumberFormat="1" applyFont="1" applyFill="1" applyBorder="1"/>
    <xf numFmtId="3" fontId="13" fillId="0" borderId="0" xfId="0" applyNumberFormat="1" applyFont="1"/>
    <xf numFmtId="3" fontId="13" fillId="14" borderId="0" xfId="0" applyNumberFormat="1" applyFont="1" applyFill="1"/>
    <xf numFmtId="3" fontId="13" fillId="15" borderId="0" xfId="0" applyNumberFormat="1" applyFont="1" applyFill="1"/>
    <xf numFmtId="3" fontId="13" fillId="10" borderId="0" xfId="0" applyNumberFormat="1" applyFont="1" applyFill="1"/>
    <xf numFmtId="3" fontId="13" fillId="11" borderId="0" xfId="0" applyNumberFormat="1" applyFont="1" applyFill="1"/>
    <xf numFmtId="0" fontId="4" fillId="0" borderId="0" xfId="0" applyFont="1" applyFill="1" applyBorder="1" applyAlignment="1">
      <alignment horizontal="center" vertical="center"/>
    </xf>
    <xf numFmtId="3" fontId="14" fillId="14" borderId="0" xfId="0" applyNumberFormat="1" applyFont="1" applyFill="1"/>
    <xf numFmtId="3" fontId="13" fillId="9" borderId="0" xfId="0" applyNumberFormat="1" applyFont="1" applyFill="1"/>
    <xf numFmtId="3" fontId="13" fillId="17" borderId="0" xfId="0" applyNumberFormat="1" applyFont="1" applyFill="1"/>
    <xf numFmtId="3" fontId="13" fillId="19" borderId="0" xfId="0" applyNumberFormat="1" applyFont="1" applyFill="1"/>
    <xf numFmtId="3" fontId="13" fillId="16" borderId="0" xfId="0" applyNumberFormat="1" applyFont="1" applyFill="1"/>
    <xf numFmtId="3" fontId="13" fillId="18" borderId="0" xfId="0" applyNumberFormat="1" applyFont="1" applyFill="1"/>
    <xf numFmtId="3" fontId="0" fillId="0" borderId="0" xfId="0" applyNumberFormat="1" applyFill="1"/>
    <xf numFmtId="0" fontId="4" fillId="21" borderId="10" xfId="4" applyFont="1" applyFill="1" applyBorder="1">
      <alignment horizontal="left"/>
    </xf>
    <xf numFmtId="3" fontId="13" fillId="21" borderId="0" xfId="0" applyNumberFormat="1" applyFont="1" applyFill="1"/>
    <xf numFmtId="3" fontId="4" fillId="4" borderId="12" xfId="0" applyNumberFormat="1" applyFont="1" applyFill="1" applyBorder="1" applyAlignment="1">
      <alignment horizontal="center"/>
    </xf>
    <xf numFmtId="3" fontId="22" fillId="0" borderId="0" xfId="0" applyNumberFormat="1" applyFont="1"/>
    <xf numFmtId="3" fontId="23" fillId="0" borderId="0" xfId="0" applyNumberFormat="1" applyFont="1"/>
    <xf numFmtId="3" fontId="21" fillId="0" borderId="0" xfId="0" applyNumberFormat="1" applyFont="1" applyFill="1" applyBorder="1"/>
    <xf numFmtId="3" fontId="23" fillId="22" borderId="0" xfId="0" applyNumberFormat="1" applyFont="1" applyFill="1"/>
    <xf numFmtId="3" fontId="24" fillId="0" borderId="0" xfId="0" applyNumberFormat="1" applyFont="1"/>
    <xf numFmtId="0" fontId="0" fillId="0" borderId="0" xfId="0" applyFill="1"/>
    <xf numFmtId="0" fontId="0" fillId="0" borderId="0" xfId="0" applyFill="1" applyBorder="1"/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/>
    </xf>
    <xf numFmtId="0" fontId="4" fillId="0" borderId="8" xfId="3" applyFont="1" applyFill="1" applyBorder="1" applyAlignment="1">
      <alignment horizontal="center" shrinkToFit="1"/>
    </xf>
    <xf numFmtId="0" fontId="6" fillId="0" borderId="0" xfId="0" applyFont="1" applyFill="1" applyBorder="1" applyAlignment="1">
      <alignment horizontal="center"/>
    </xf>
    <xf numFmtId="0" fontId="4" fillId="0" borderId="2" xfId="3" applyFont="1" applyFill="1" applyBorder="1" applyAlignment="1">
      <alignment horizontal="center" shrinkToFit="1"/>
    </xf>
    <xf numFmtId="0" fontId="6" fillId="0" borderId="2" xfId="3" applyFont="1" applyFill="1" applyBorder="1" applyAlignment="1">
      <alignment horizontal="center" shrinkToFit="1"/>
    </xf>
    <xf numFmtId="0" fontId="4" fillId="0" borderId="0" xfId="0" applyFont="1" applyFill="1" applyBorder="1" applyAlignment="1">
      <alignment wrapText="1"/>
    </xf>
    <xf numFmtId="0" fontId="6" fillId="0" borderId="0" xfId="4" applyFont="1" applyFill="1" applyBorder="1" applyAlignment="1">
      <alignment horizontal="center" vertical="center" wrapText="1" shrinkToFit="1"/>
    </xf>
    <xf numFmtId="0" fontId="4" fillId="0" borderId="16" xfId="3" applyFont="1" applyFill="1" applyBorder="1" applyAlignment="1">
      <alignment horizontal="center" shrinkToFit="1"/>
    </xf>
    <xf numFmtId="0" fontId="4" fillId="0" borderId="17" xfId="3" applyFont="1" applyFill="1" applyBorder="1" applyAlignment="1">
      <alignment horizontal="center" shrinkToFit="1"/>
    </xf>
    <xf numFmtId="0" fontId="4" fillId="0" borderId="18" xfId="3" applyFont="1" applyFill="1" applyBorder="1" applyAlignment="1">
      <alignment horizontal="center" shrinkToFit="1"/>
    </xf>
    <xf numFmtId="0" fontId="4" fillId="0" borderId="19" xfId="3" applyFont="1" applyFill="1" applyBorder="1" applyAlignment="1">
      <alignment horizontal="center" shrinkToFit="1"/>
    </xf>
    <xf numFmtId="165" fontId="13" fillId="0" borderId="0" xfId="0" applyNumberFormat="1" applyFont="1"/>
    <xf numFmtId="165" fontId="13" fillId="0" borderId="0" xfId="0" applyNumberFormat="1" applyFont="1" applyFill="1" applyBorder="1"/>
    <xf numFmtId="0" fontId="27" fillId="0" borderId="0" xfId="0" applyFont="1" applyFill="1" applyBorder="1" applyAlignment="1">
      <alignment horizontal="center" vertical="center" wrapText="1"/>
    </xf>
    <xf numFmtId="165" fontId="13" fillId="9" borderId="0" xfId="0" applyNumberFormat="1" applyFont="1" applyFill="1"/>
    <xf numFmtId="3" fontId="6" fillId="14" borderId="14" xfId="4" applyNumberFormat="1" applyFont="1" applyFill="1" applyBorder="1" applyAlignment="1">
      <alignment horizontal="right"/>
    </xf>
    <xf numFmtId="3" fontId="4" fillId="10" borderId="14" xfId="4" applyNumberFormat="1" applyFont="1" applyFill="1" applyBorder="1" applyAlignment="1">
      <alignment horizontal="right"/>
    </xf>
    <xf numFmtId="3" fontId="4" fillId="11" borderId="14" xfId="4" applyNumberFormat="1" applyFont="1" applyFill="1" applyBorder="1" applyAlignment="1">
      <alignment horizontal="right"/>
    </xf>
    <xf numFmtId="3" fontId="4" fillId="4" borderId="14" xfId="0" applyNumberFormat="1" applyFont="1" applyFill="1" applyBorder="1"/>
    <xf numFmtId="3" fontId="4" fillId="9" borderId="14" xfId="0" applyNumberFormat="1" applyFont="1" applyFill="1" applyBorder="1"/>
    <xf numFmtId="3" fontId="4" fillId="10" borderId="14" xfId="0" applyNumberFormat="1" applyFont="1" applyFill="1" applyBorder="1"/>
    <xf numFmtId="3" fontId="4" fillId="11" borderId="14" xfId="0" applyNumberFormat="1" applyFont="1" applyFill="1" applyBorder="1"/>
    <xf numFmtId="3" fontId="4" fillId="19" borderId="14" xfId="4" applyNumberFormat="1" applyFont="1" applyFill="1" applyBorder="1" applyAlignment="1">
      <alignment horizontal="right"/>
    </xf>
    <xf numFmtId="3" fontId="4" fillId="16" borderId="14" xfId="4" applyNumberFormat="1" applyFont="1" applyFill="1" applyBorder="1" applyAlignment="1">
      <alignment horizontal="right"/>
    </xf>
    <xf numFmtId="3" fontId="4" fillId="18" borderId="14" xfId="4" applyNumberFormat="1" applyFont="1" applyFill="1" applyBorder="1" applyAlignment="1">
      <alignment horizontal="right"/>
    </xf>
    <xf numFmtId="3" fontId="4" fillId="17" borderId="14" xfId="4" applyNumberFormat="1" applyFont="1" applyFill="1" applyBorder="1" applyAlignment="1">
      <alignment horizontal="right"/>
    </xf>
    <xf numFmtId="3" fontId="6" fillId="14" borderId="21" xfId="4" applyNumberFormat="1" applyFont="1" applyFill="1" applyBorder="1" applyAlignment="1">
      <alignment horizontal="right"/>
    </xf>
    <xf numFmtId="3" fontId="4" fillId="10" borderId="21" xfId="4" applyNumberFormat="1" applyFont="1" applyFill="1" applyBorder="1" applyAlignment="1">
      <alignment horizontal="right"/>
    </xf>
    <xf numFmtId="3" fontId="4" fillId="11" borderId="21" xfId="4" applyNumberFormat="1" applyFont="1" applyFill="1" applyBorder="1" applyAlignment="1">
      <alignment horizontal="right"/>
    </xf>
    <xf numFmtId="0" fontId="0" fillId="0" borderId="21" xfId="0" applyBorder="1"/>
    <xf numFmtId="3" fontId="4" fillId="7" borderId="21" xfId="4" applyNumberFormat="1" applyFont="1" applyFill="1" applyBorder="1" applyAlignment="1">
      <alignment horizontal="right"/>
    </xf>
    <xf numFmtId="3" fontId="4" fillId="0" borderId="21" xfId="4" applyNumberFormat="1" applyFont="1" applyFill="1" applyBorder="1" applyAlignment="1">
      <alignment horizontal="right"/>
    </xf>
    <xf numFmtId="3" fontId="4" fillId="9" borderId="21" xfId="4" applyNumberFormat="1" applyFont="1" applyFill="1" applyBorder="1" applyAlignment="1">
      <alignment horizontal="right"/>
    </xf>
    <xf numFmtId="3" fontId="13" fillId="0" borderId="21" xfId="0" applyNumberFormat="1" applyFont="1" applyBorder="1"/>
    <xf numFmtId="3" fontId="4" fillId="0" borderId="22" xfId="4" applyNumberFormat="1" applyFont="1" applyFill="1" applyBorder="1" applyAlignment="1">
      <alignment horizontal="right"/>
    </xf>
    <xf numFmtId="3" fontId="4" fillId="10" borderId="21" xfId="0" applyNumberFormat="1" applyFont="1" applyFill="1" applyBorder="1"/>
    <xf numFmtId="3" fontId="4" fillId="22" borderId="21" xfId="4" applyNumberFormat="1" applyFont="1" applyFill="1" applyBorder="1" applyAlignment="1">
      <alignment horizontal="right"/>
    </xf>
    <xf numFmtId="3" fontId="14" fillId="7" borderId="21" xfId="4" applyNumberFormat="1" applyFont="1" applyFill="1" applyBorder="1" applyAlignment="1">
      <alignment horizontal="right"/>
    </xf>
    <xf numFmtId="3" fontId="4" fillId="11" borderId="21" xfId="0" applyNumberFormat="1" applyFont="1" applyFill="1" applyBorder="1"/>
    <xf numFmtId="3" fontId="4" fillId="19" borderId="21" xfId="4" applyNumberFormat="1" applyFont="1" applyFill="1" applyBorder="1" applyAlignment="1">
      <alignment horizontal="right"/>
    </xf>
    <xf numFmtId="3" fontId="4" fillId="16" borderId="21" xfId="4" applyNumberFormat="1" applyFont="1" applyFill="1" applyBorder="1" applyAlignment="1">
      <alignment horizontal="right"/>
    </xf>
    <xf numFmtId="3" fontId="4" fillId="18" borderId="21" xfId="4" applyNumberFormat="1" applyFont="1" applyFill="1" applyBorder="1" applyAlignment="1">
      <alignment horizontal="right"/>
    </xf>
    <xf numFmtId="3" fontId="4" fillId="17" borderId="21" xfId="4" applyNumberFormat="1" applyFont="1" applyFill="1" applyBorder="1" applyAlignment="1">
      <alignment horizontal="right"/>
    </xf>
    <xf numFmtId="3" fontId="4" fillId="16" borderId="23" xfId="4" applyNumberFormat="1" applyFont="1" applyFill="1" applyBorder="1" applyAlignment="1">
      <alignment horizontal="right"/>
    </xf>
    <xf numFmtId="3" fontId="22" fillId="0" borderId="21" xfId="0" applyNumberFormat="1" applyFont="1" applyBorder="1"/>
    <xf numFmtId="0" fontId="13" fillId="0" borderId="0" xfId="0" applyFont="1"/>
    <xf numFmtId="3" fontId="4" fillId="0" borderId="0" xfId="4" applyNumberFormat="1" applyFont="1" applyFill="1" applyBorder="1" applyAlignment="1">
      <alignment horizontal="right"/>
    </xf>
    <xf numFmtId="0" fontId="13" fillId="0" borderId="21" xfId="0" applyFont="1" applyBorder="1"/>
    <xf numFmtId="49" fontId="11" fillId="18" borderId="0" xfId="0" applyNumberFormat="1" applyFont="1" applyFill="1" applyBorder="1" applyAlignment="1">
      <alignment horizontal="center"/>
    </xf>
    <xf numFmtId="3" fontId="4" fillId="18" borderId="14" xfId="0" applyNumberFormat="1" applyFont="1" applyFill="1" applyBorder="1"/>
    <xf numFmtId="165" fontId="13" fillId="18" borderId="0" xfId="0" applyNumberFormat="1" applyFont="1" applyFill="1"/>
    <xf numFmtId="49" fontId="11" fillId="0" borderId="0" xfId="0" applyNumberFormat="1" applyFont="1" applyFill="1" applyBorder="1" applyAlignment="1">
      <alignment horizontal="center"/>
    </xf>
    <xf numFmtId="3" fontId="4" fillId="0" borderId="14" xfId="0" applyNumberFormat="1" applyFont="1" applyFill="1" applyBorder="1"/>
    <xf numFmtId="3" fontId="13" fillId="0" borderId="0" xfId="0" applyNumberFormat="1" applyFont="1" applyFill="1"/>
    <xf numFmtId="165" fontId="13" fillId="0" borderId="0" xfId="0" applyNumberFormat="1" applyFont="1" applyFill="1"/>
    <xf numFmtId="3" fontId="13" fillId="18" borderId="21" xfId="0" applyNumberFormat="1" applyFont="1" applyFill="1" applyBorder="1"/>
    <xf numFmtId="3" fontId="23" fillId="18" borderId="0" xfId="0" applyNumberFormat="1" applyFont="1" applyFill="1"/>
    <xf numFmtId="3" fontId="22" fillId="18" borderId="0" xfId="0" applyNumberFormat="1" applyFont="1" applyFill="1"/>
    <xf numFmtId="3" fontId="22" fillId="0" borderId="24" xfId="0" applyNumberFormat="1" applyFont="1" applyBorder="1"/>
    <xf numFmtId="3" fontId="4" fillId="0" borderId="24" xfId="4" applyNumberFormat="1" applyFont="1" applyFill="1" applyBorder="1" applyAlignment="1">
      <alignment horizontal="right"/>
    </xf>
    <xf numFmtId="3" fontId="22" fillId="0" borderId="24" xfId="0" applyNumberFormat="1" applyFont="1" applyFill="1" applyBorder="1"/>
    <xf numFmtId="0" fontId="0" fillId="9" borderId="21" xfId="0" applyFill="1" applyBorder="1"/>
    <xf numFmtId="0" fontId="0" fillId="18" borderId="21" xfId="0" applyFill="1" applyBorder="1"/>
    <xf numFmtId="3" fontId="13" fillId="23" borderId="0" xfId="0" applyNumberFormat="1" applyFont="1" applyFill="1"/>
    <xf numFmtId="165" fontId="13" fillId="23" borderId="0" xfId="0" applyNumberFormat="1" applyFont="1" applyFill="1"/>
    <xf numFmtId="165" fontId="13" fillId="23" borderId="0" xfId="0" applyNumberFormat="1" applyFont="1" applyFill="1" applyBorder="1"/>
    <xf numFmtId="3" fontId="13" fillId="24" borderId="0" xfId="0" applyNumberFormat="1" applyFont="1" applyFill="1"/>
    <xf numFmtId="165" fontId="13" fillId="24" borderId="0" xfId="0" applyNumberFormat="1" applyFont="1" applyFill="1"/>
    <xf numFmtId="165" fontId="13" fillId="11" borderId="0" xfId="0" applyNumberFormat="1" applyFont="1" applyFill="1"/>
    <xf numFmtId="165" fontId="13" fillId="11" borderId="0" xfId="0" applyNumberFormat="1" applyFont="1" applyFill="1" applyBorder="1"/>
    <xf numFmtId="3" fontId="4" fillId="18" borderId="25" xfId="4" applyNumberFormat="1" applyFont="1" applyFill="1" applyBorder="1" applyAlignment="1">
      <alignment horizontal="right"/>
    </xf>
    <xf numFmtId="3" fontId="12" fillId="0" borderId="21" xfId="0" applyNumberFormat="1" applyFont="1" applyBorder="1"/>
    <xf numFmtId="3" fontId="0" fillId="0" borderId="21" xfId="0" applyNumberFormat="1" applyBorder="1"/>
    <xf numFmtId="9" fontId="22" fillId="0" borderId="0" xfId="0" applyNumberFormat="1" applyFont="1"/>
    <xf numFmtId="3" fontId="30" fillId="0" borderId="0" xfId="0" applyNumberFormat="1" applyFont="1"/>
    <xf numFmtId="3" fontId="22" fillId="0" borderId="0" xfId="0" applyNumberFormat="1" applyFont="1" applyBorder="1"/>
    <xf numFmtId="3" fontId="22" fillId="0" borderId="0" xfId="0" applyNumberFormat="1" applyFont="1" applyFill="1" applyBorder="1"/>
    <xf numFmtId="3" fontId="23" fillId="0" borderId="0" xfId="0" applyNumberFormat="1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3" fontId="23" fillId="0" borderId="0" xfId="0" applyNumberFormat="1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31" fillId="22" borderId="0" xfId="0" applyFont="1" applyFill="1"/>
    <xf numFmtId="3" fontId="31" fillId="22" borderId="0" xfId="0" applyNumberFormat="1" applyFont="1" applyFill="1"/>
    <xf numFmtId="0" fontId="0" fillId="0" borderId="0" xfId="0" applyFont="1"/>
    <xf numFmtId="3" fontId="0" fillId="0" borderId="0" xfId="0" applyNumberFormat="1" applyFont="1"/>
    <xf numFmtId="3" fontId="33" fillId="0" borderId="0" xfId="0" applyNumberFormat="1" applyFont="1"/>
    <xf numFmtId="3" fontId="36" fillId="22" borderId="21" xfId="4" applyNumberFormat="1" applyFont="1" applyFill="1" applyBorder="1" applyAlignment="1">
      <alignment horizontal="right"/>
    </xf>
    <xf numFmtId="0" fontId="37" fillId="0" borderId="0" xfId="0" applyFont="1"/>
    <xf numFmtId="0" fontId="38" fillId="0" borderId="0" xfId="0" applyFont="1"/>
    <xf numFmtId="3" fontId="32" fillId="0" borderId="0" xfId="0" applyNumberFormat="1" applyFont="1"/>
    <xf numFmtId="0" fontId="6" fillId="22" borderId="0" xfId="4" applyFont="1" applyFill="1" applyBorder="1">
      <alignment horizontal="left"/>
    </xf>
    <xf numFmtId="49" fontId="11" fillId="22" borderId="0" xfId="0" applyNumberFormat="1" applyFont="1" applyFill="1" applyBorder="1" applyAlignment="1">
      <alignment horizontal="center"/>
    </xf>
    <xf numFmtId="3" fontId="4" fillId="22" borderId="9" xfId="4" applyNumberFormat="1" applyFont="1" applyFill="1" applyBorder="1" applyAlignment="1">
      <alignment horizontal="right"/>
    </xf>
    <xf numFmtId="3" fontId="4" fillId="22" borderId="14" xfId="0" applyNumberFormat="1" applyFont="1" applyFill="1" applyBorder="1"/>
    <xf numFmtId="3" fontId="30" fillId="22" borderId="24" xfId="0" applyNumberFormat="1" applyFont="1" applyFill="1" applyBorder="1"/>
    <xf numFmtId="0" fontId="36" fillId="22" borderId="0" xfId="4" applyFont="1" applyFill="1" applyBorder="1">
      <alignment horizontal="left"/>
    </xf>
    <xf numFmtId="49" fontId="35" fillId="22" borderId="0" xfId="0" applyNumberFormat="1" applyFont="1" applyFill="1" applyBorder="1" applyAlignment="1">
      <alignment horizontal="center"/>
    </xf>
    <xf numFmtId="3" fontId="35" fillId="22" borderId="9" xfId="4" applyNumberFormat="1" applyFont="1" applyFill="1" applyBorder="1" applyAlignment="1">
      <alignment horizontal="right"/>
    </xf>
    <xf numFmtId="3" fontId="35" fillId="22" borderId="14" xfId="0" applyNumberFormat="1" applyFont="1" applyFill="1" applyBorder="1"/>
    <xf numFmtId="166" fontId="22" fillId="0" borderId="24" xfId="0" applyNumberFormat="1" applyFont="1" applyBorder="1"/>
    <xf numFmtId="3" fontId="12" fillId="22" borderId="21" xfId="0" applyNumberFormat="1" applyFont="1" applyFill="1" applyBorder="1"/>
    <xf numFmtId="3" fontId="41" fillId="26" borderId="20" xfId="4" applyNumberFormat="1" applyFont="1" applyFill="1" applyBorder="1" applyAlignment="1">
      <alignment horizontal="right" vertical="center"/>
    </xf>
    <xf numFmtId="3" fontId="42" fillId="26" borderId="0" xfId="0" applyNumberFormat="1" applyFont="1" applyFill="1" applyBorder="1" applyAlignment="1">
      <alignment vertical="center"/>
    </xf>
    <xf numFmtId="3" fontId="44" fillId="15" borderId="0" xfId="0" applyNumberFormat="1" applyFont="1" applyFill="1" applyAlignment="1">
      <alignment horizontal="left" vertical="center" wrapText="1"/>
    </xf>
    <xf numFmtId="3" fontId="44" fillId="15" borderId="0" xfId="0" applyNumberFormat="1" applyFont="1" applyFill="1" applyAlignment="1">
      <alignment vertical="center"/>
    </xf>
    <xf numFmtId="3" fontId="43" fillId="27" borderId="0" xfId="0" applyNumberFormat="1" applyFont="1" applyFill="1" applyBorder="1" applyAlignment="1">
      <alignment vertical="center"/>
    </xf>
    <xf numFmtId="3" fontId="40" fillId="0" borderId="26" xfId="0" applyNumberFormat="1" applyFont="1" applyFill="1" applyBorder="1"/>
    <xf numFmtId="3" fontId="40" fillId="0" borderId="27" xfId="0" applyNumberFormat="1" applyFont="1" applyFill="1" applyBorder="1" applyAlignment="1"/>
    <xf numFmtId="3" fontId="40" fillId="0" borderId="28" xfId="0" applyNumberFormat="1" applyFont="1" applyFill="1" applyBorder="1"/>
    <xf numFmtId="3" fontId="40" fillId="0" borderId="29" xfId="0" applyNumberFormat="1" applyFont="1" applyFill="1" applyBorder="1"/>
    <xf numFmtId="0" fontId="4" fillId="0" borderId="30" xfId="3" applyFont="1" applyFill="1" applyBorder="1" applyAlignment="1">
      <alignment horizontal="center" shrinkToFit="1"/>
    </xf>
    <xf numFmtId="1" fontId="4" fillId="0" borderId="31" xfId="0" applyNumberFormat="1" applyFont="1" applyFill="1" applyBorder="1" applyAlignment="1">
      <alignment horizontal="center"/>
    </xf>
    <xf numFmtId="0" fontId="0" fillId="0" borderId="32" xfId="0" applyFill="1" applyBorder="1"/>
    <xf numFmtId="3" fontId="22" fillId="0" borderId="26" xfId="0" applyNumberFormat="1" applyFont="1" applyFill="1" applyBorder="1" applyAlignment="1">
      <alignment horizontal="right"/>
    </xf>
    <xf numFmtId="3" fontId="22" fillId="0" borderId="27" xfId="0" applyNumberFormat="1" applyFont="1" applyFill="1" applyBorder="1"/>
    <xf numFmtId="3" fontId="22" fillId="0" borderId="33" xfId="0" applyNumberFormat="1" applyFont="1" applyFill="1" applyBorder="1" applyAlignment="1">
      <alignment horizontal="right"/>
    </xf>
    <xf numFmtId="3" fontId="22" fillId="0" borderId="34" xfId="0" applyNumberFormat="1" applyFont="1" applyFill="1" applyBorder="1"/>
    <xf numFmtId="0" fontId="0" fillId="28" borderId="35" xfId="0" applyFill="1" applyBorder="1"/>
    <xf numFmtId="3" fontId="0" fillId="28" borderId="35" xfId="0" applyNumberFormat="1" applyFill="1" applyBorder="1"/>
    <xf numFmtId="0" fontId="0" fillId="28" borderId="36" xfId="0" applyFill="1" applyBorder="1"/>
    <xf numFmtId="3" fontId="0" fillId="28" borderId="36" xfId="0" applyNumberFormat="1" applyFill="1" applyBorder="1"/>
    <xf numFmtId="3" fontId="47" fillId="29" borderId="0" xfId="4" applyNumberFormat="1" applyFont="1" applyFill="1" applyBorder="1" applyAlignment="1">
      <alignment horizontal="left" vertical="center"/>
    </xf>
    <xf numFmtId="3" fontId="47" fillId="29" borderId="0" xfId="4" applyNumberFormat="1" applyFont="1" applyFill="1" applyBorder="1" applyAlignment="1">
      <alignment horizontal="right" vertical="center"/>
    </xf>
    <xf numFmtId="3" fontId="47" fillId="29" borderId="0" xfId="0" applyNumberFormat="1" applyFont="1" applyFill="1" applyBorder="1" applyAlignment="1">
      <alignment vertical="center"/>
    </xf>
    <xf numFmtId="3" fontId="48" fillId="29" borderId="0" xfId="0" applyNumberFormat="1" applyFont="1" applyFill="1"/>
    <xf numFmtId="0" fontId="49" fillId="11" borderId="0" xfId="0" applyFont="1" applyFill="1" applyBorder="1"/>
    <xf numFmtId="3" fontId="49" fillId="11" borderId="0" xfId="0" applyNumberFormat="1" applyFont="1" applyFill="1" applyBorder="1"/>
    <xf numFmtId="0" fontId="49" fillId="11" borderId="35" xfId="0" applyFont="1" applyFill="1" applyBorder="1"/>
    <xf numFmtId="3" fontId="49" fillId="11" borderId="35" xfId="0" applyNumberFormat="1" applyFont="1" applyFill="1" applyBorder="1"/>
    <xf numFmtId="0" fontId="52" fillId="0" borderId="0" xfId="0" applyFont="1" applyFill="1" applyAlignment="1">
      <alignment vertical="center"/>
    </xf>
    <xf numFmtId="3" fontId="53" fillId="0" borderId="0" xfId="0" applyNumberFormat="1" applyFont="1"/>
    <xf numFmtId="0" fontId="54" fillId="0" borderId="0" xfId="0" applyFont="1" applyFill="1" applyAlignment="1">
      <alignment horizontal="center" vertical="center"/>
    </xf>
    <xf numFmtId="0" fontId="28" fillId="0" borderId="0" xfId="0" applyFont="1" applyAlignment="1">
      <alignment horizontal="right"/>
    </xf>
    <xf numFmtId="3" fontId="56" fillId="18" borderId="40" xfId="0" applyNumberFormat="1" applyFont="1" applyFill="1" applyBorder="1" applyAlignment="1">
      <alignment vertical="center"/>
    </xf>
    <xf numFmtId="0" fontId="0" fillId="18" borderId="0" xfId="0" applyFill="1"/>
    <xf numFmtId="3" fontId="57" fillId="22" borderId="21" xfId="0" applyNumberFormat="1" applyFont="1" applyFill="1" applyBorder="1"/>
    <xf numFmtId="165" fontId="22" fillId="0" borderId="0" xfId="0" applyNumberFormat="1" applyFont="1"/>
    <xf numFmtId="3" fontId="43" fillId="25" borderId="0" xfId="0" applyNumberFormat="1" applyFont="1" applyFill="1" applyBorder="1" applyAlignment="1">
      <alignment vertical="center"/>
    </xf>
    <xf numFmtId="0" fontId="2" fillId="0" borderId="0" xfId="4" applyFont="1" applyFill="1" applyBorder="1" applyAlignment="1">
      <alignment horizontal="left" vertical="center"/>
    </xf>
    <xf numFmtId="0" fontId="4" fillId="0" borderId="0" xfId="4" applyFont="1" applyFill="1" applyBorder="1" applyAlignment="1">
      <alignment horizontal="center" vertical="center"/>
    </xf>
    <xf numFmtId="0" fontId="4" fillId="21" borderId="10" xfId="4" applyFont="1" applyFill="1" applyBorder="1" applyAlignment="1">
      <alignment horizontal="left" vertical="center"/>
    </xf>
    <xf numFmtId="0" fontId="4" fillId="21" borderId="0" xfId="0" applyFont="1" applyFill="1" applyBorder="1" applyAlignment="1">
      <alignment vertical="center"/>
    </xf>
    <xf numFmtId="3" fontId="4" fillId="21" borderId="9" xfId="4" applyNumberFormat="1" applyFont="1" applyFill="1" applyBorder="1" applyAlignment="1">
      <alignment horizontal="right" vertical="center"/>
    </xf>
    <xf numFmtId="3" fontId="4" fillId="21" borderId="14" xfId="4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3" fontId="43" fillId="25" borderId="0" xfId="0" applyNumberFormat="1" applyFont="1" applyFill="1" applyBorder="1" applyAlignment="1">
      <alignment vertical="center" wrapText="1"/>
    </xf>
    <xf numFmtId="0" fontId="60" fillId="20" borderId="0" xfId="4" applyFont="1" applyFill="1" applyBorder="1" applyAlignment="1">
      <alignment horizontal="left" vertical="center"/>
    </xf>
    <xf numFmtId="0" fontId="60" fillId="20" borderId="0" xfId="0" applyFont="1" applyFill="1" applyBorder="1" applyAlignment="1">
      <alignment vertical="center"/>
    </xf>
    <xf numFmtId="3" fontId="60" fillId="20" borderId="9" xfId="4" applyNumberFormat="1" applyFont="1" applyFill="1" applyBorder="1" applyAlignment="1">
      <alignment horizontal="right" vertical="center"/>
    </xf>
    <xf numFmtId="3" fontId="60" fillId="20" borderId="14" xfId="4" applyNumberFormat="1" applyFont="1" applyFill="1" applyBorder="1" applyAlignment="1">
      <alignment horizontal="right" vertical="center"/>
    </xf>
    <xf numFmtId="3" fontId="60" fillId="20" borderId="21" xfId="4" applyNumberFormat="1" applyFont="1" applyFill="1" applyBorder="1" applyAlignment="1">
      <alignment horizontal="right" vertical="center"/>
    </xf>
    <xf numFmtId="3" fontId="61" fillId="0" borderId="0" xfId="0" applyNumberFormat="1" applyFont="1" applyAlignment="1">
      <alignment vertical="center"/>
    </xf>
    <xf numFmtId="165" fontId="61" fillId="0" borderId="0" xfId="0" applyNumberFormat="1" applyFont="1" applyAlignment="1">
      <alignment vertical="center"/>
    </xf>
    <xf numFmtId="165" fontId="61" fillId="0" borderId="0" xfId="0" applyNumberFormat="1" applyFont="1" applyFill="1" applyBorder="1" applyAlignment="1">
      <alignment vertical="center"/>
    </xf>
    <xf numFmtId="0" fontId="61" fillId="0" borderId="0" xfId="0" applyFont="1" applyAlignment="1">
      <alignment vertical="center"/>
    </xf>
    <xf numFmtId="0" fontId="60" fillId="19" borderId="0" xfId="4" applyFont="1" applyFill="1" applyBorder="1" applyAlignment="1">
      <alignment horizontal="left" vertical="center"/>
    </xf>
    <xf numFmtId="0" fontId="60" fillId="19" borderId="0" xfId="0" applyFont="1" applyFill="1" applyBorder="1" applyAlignment="1">
      <alignment vertical="center"/>
    </xf>
    <xf numFmtId="3" fontId="60" fillId="19" borderId="9" xfId="4" applyNumberFormat="1" applyFont="1" applyFill="1" applyBorder="1" applyAlignment="1">
      <alignment horizontal="right" vertical="center"/>
    </xf>
    <xf numFmtId="3" fontId="60" fillId="19" borderId="14" xfId="4" applyNumberFormat="1" applyFont="1" applyFill="1" applyBorder="1" applyAlignment="1">
      <alignment horizontal="right" vertical="center"/>
    </xf>
    <xf numFmtId="3" fontId="60" fillId="19" borderId="21" xfId="4" applyNumberFormat="1" applyFont="1" applyFill="1" applyBorder="1" applyAlignment="1">
      <alignment horizontal="right" vertical="center"/>
    </xf>
    <xf numFmtId="0" fontId="60" fillId="16" borderId="0" xfId="4" applyFont="1" applyFill="1" applyBorder="1" applyAlignment="1">
      <alignment horizontal="left" vertical="center"/>
    </xf>
    <xf numFmtId="0" fontId="60" fillId="16" borderId="0" xfId="0" applyFont="1" applyFill="1" applyBorder="1" applyAlignment="1">
      <alignment vertical="center"/>
    </xf>
    <xf numFmtId="3" fontId="60" fillId="16" borderId="9" xfId="4" applyNumberFormat="1" applyFont="1" applyFill="1" applyBorder="1" applyAlignment="1">
      <alignment horizontal="right" vertical="center"/>
    </xf>
    <xf numFmtId="3" fontId="60" fillId="16" borderId="14" xfId="0" applyNumberFormat="1" applyFont="1" applyFill="1" applyBorder="1" applyAlignment="1">
      <alignment vertical="center"/>
    </xf>
    <xf numFmtId="3" fontId="60" fillId="16" borderId="21" xfId="0" applyNumberFormat="1" applyFont="1" applyFill="1" applyBorder="1" applyAlignment="1">
      <alignment vertical="center"/>
    </xf>
    <xf numFmtId="3" fontId="61" fillId="24" borderId="0" xfId="0" applyNumberFormat="1" applyFont="1" applyFill="1" applyAlignment="1">
      <alignment vertical="center"/>
    </xf>
    <xf numFmtId="165" fontId="61" fillId="24" borderId="0" xfId="0" applyNumberFormat="1" applyFont="1" applyFill="1" applyAlignment="1">
      <alignment vertical="center"/>
    </xf>
    <xf numFmtId="165" fontId="61" fillId="24" borderId="0" xfId="0" applyNumberFormat="1" applyFont="1" applyFill="1" applyBorder="1" applyAlignment="1">
      <alignment vertical="center"/>
    </xf>
    <xf numFmtId="3" fontId="60" fillId="16" borderId="14" xfId="4" applyNumberFormat="1" applyFont="1" applyFill="1" applyBorder="1" applyAlignment="1">
      <alignment horizontal="right" vertical="center"/>
    </xf>
    <xf numFmtId="3" fontId="60" fillId="16" borderId="21" xfId="4" applyNumberFormat="1" applyFont="1" applyFill="1" applyBorder="1" applyAlignment="1">
      <alignment horizontal="right" vertical="center"/>
    </xf>
    <xf numFmtId="0" fontId="25" fillId="15" borderId="0" xfId="4" applyFont="1" applyFill="1" applyBorder="1">
      <alignment horizontal="left"/>
    </xf>
    <xf numFmtId="0" fontId="59" fillId="15" borderId="0" xfId="4" applyFont="1" applyFill="1" applyBorder="1">
      <alignment horizontal="left"/>
    </xf>
    <xf numFmtId="0" fontId="25" fillId="15" borderId="0" xfId="0" applyFont="1" applyFill="1" applyBorder="1"/>
    <xf numFmtId="0" fontId="62" fillId="15" borderId="0" xfId="0" applyFont="1" applyFill="1"/>
    <xf numFmtId="3" fontId="25" fillId="15" borderId="9" xfId="4" applyNumberFormat="1" applyFont="1" applyFill="1" applyBorder="1" applyAlignment="1">
      <alignment horizontal="right"/>
    </xf>
    <xf numFmtId="3" fontId="25" fillId="15" borderId="14" xfId="4" applyNumberFormat="1" applyFont="1" applyFill="1" applyBorder="1" applyAlignment="1">
      <alignment horizontal="right"/>
    </xf>
    <xf numFmtId="3" fontId="25" fillId="15" borderId="21" xfId="4" applyNumberFormat="1" applyFont="1" applyFill="1" applyBorder="1" applyAlignment="1">
      <alignment horizontal="right"/>
    </xf>
    <xf numFmtId="3" fontId="62" fillId="0" borderId="0" xfId="0" applyNumberFormat="1" applyFont="1"/>
    <xf numFmtId="3" fontId="62" fillId="0" borderId="0" xfId="0" applyNumberFormat="1" applyFont="1" applyFill="1" applyBorder="1"/>
    <xf numFmtId="165" fontId="62" fillId="0" borderId="0" xfId="0" applyNumberFormat="1" applyFont="1" applyFill="1" applyBorder="1"/>
    <xf numFmtId="0" fontId="62" fillId="0" borderId="0" xfId="0" applyFont="1"/>
    <xf numFmtId="0" fontId="63" fillId="30" borderId="0" xfId="0" applyFont="1" applyFill="1" applyAlignment="1">
      <alignment horizontal="left" vertical="center"/>
    </xf>
    <xf numFmtId="0" fontId="64" fillId="30" borderId="0" xfId="0" applyFont="1" applyFill="1"/>
    <xf numFmtId="0" fontId="63" fillId="30" borderId="0" xfId="0" applyFont="1" applyFill="1" applyAlignment="1">
      <alignment vertical="center"/>
    </xf>
    <xf numFmtId="10" fontId="63" fillId="30" borderId="0" xfId="6" applyNumberFormat="1" applyFont="1" applyFill="1" applyAlignment="1">
      <alignment vertical="center"/>
    </xf>
    <xf numFmtId="3" fontId="65" fillId="0" borderId="0" xfId="0" applyNumberFormat="1" applyFont="1" applyAlignment="1">
      <alignment horizontal="right"/>
    </xf>
    <xf numFmtId="3" fontId="65" fillId="0" borderId="0" xfId="0" applyNumberFormat="1" applyFont="1"/>
    <xf numFmtId="3" fontId="66" fillId="32" borderId="0" xfId="0" applyNumberFormat="1" applyFont="1" applyFill="1" applyAlignment="1">
      <alignment horizontal="right"/>
    </xf>
    <xf numFmtId="3" fontId="66" fillId="32" borderId="0" xfId="0" applyNumberFormat="1" applyFont="1" applyFill="1"/>
    <xf numFmtId="0" fontId="0" fillId="22" borderId="0" xfId="0" applyFill="1"/>
    <xf numFmtId="3" fontId="0" fillId="22" borderId="0" xfId="0" applyNumberFormat="1" applyFill="1"/>
    <xf numFmtId="3" fontId="41" fillId="26" borderId="0" xfId="0" applyNumberFormat="1" applyFont="1" applyFill="1" applyBorder="1" applyAlignment="1">
      <alignment vertical="center"/>
    </xf>
    <xf numFmtId="3" fontId="58" fillId="32" borderId="41" xfId="0" applyNumberFormat="1" applyFont="1" applyFill="1" applyBorder="1"/>
    <xf numFmtId="3" fontId="65" fillId="0" borderId="0" xfId="0" applyNumberFormat="1" applyFont="1" applyFill="1" applyAlignment="1">
      <alignment horizontal="right"/>
    </xf>
    <xf numFmtId="3" fontId="65" fillId="0" borderId="0" xfId="0" applyNumberFormat="1" applyFont="1" applyFill="1"/>
    <xf numFmtId="3" fontId="27" fillId="0" borderId="28" xfId="0" applyNumberFormat="1" applyFont="1" applyBorder="1" applyAlignment="1">
      <alignment horizontal="right" vertical="center" wrapText="1"/>
    </xf>
    <xf numFmtId="3" fontId="27" fillId="0" borderId="29" xfId="0" applyNumberFormat="1" applyFont="1" applyBorder="1" applyAlignment="1">
      <alignment horizontal="right" vertical="center" wrapText="1"/>
    </xf>
    <xf numFmtId="3" fontId="50" fillId="19" borderId="0" xfId="4" applyNumberFormat="1" applyFont="1" applyFill="1" applyBorder="1" applyAlignment="1">
      <alignment horizontal="left" vertical="center"/>
    </xf>
    <xf numFmtId="3" fontId="50" fillId="19" borderId="0" xfId="4" applyNumberFormat="1" applyFont="1" applyFill="1" applyBorder="1" applyAlignment="1">
      <alignment horizontal="right" vertical="center"/>
    </xf>
    <xf numFmtId="3" fontId="50" fillId="19" borderId="0" xfId="0" applyNumberFormat="1" applyFont="1" applyFill="1" applyBorder="1" applyAlignment="1">
      <alignment vertical="center"/>
    </xf>
    <xf numFmtId="3" fontId="51" fillId="19" borderId="0" xfId="0" applyNumberFormat="1" applyFont="1" applyFill="1" applyBorder="1" applyAlignment="1">
      <alignment vertical="center"/>
    </xf>
    <xf numFmtId="0" fontId="69" fillId="0" borderId="0" xfId="0" applyFont="1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/>
    <xf numFmtId="3" fontId="0" fillId="0" borderId="0" xfId="0" applyNumberFormat="1" applyFill="1" applyBorder="1"/>
    <xf numFmtId="3" fontId="0" fillId="22" borderId="0" xfId="0" applyNumberFormat="1" applyFill="1" applyAlignment="1">
      <alignment horizontal="right"/>
    </xf>
    <xf numFmtId="0" fontId="0" fillId="22" borderId="0" xfId="0" applyFill="1" applyAlignment="1">
      <alignment horizontal="right"/>
    </xf>
    <xf numFmtId="0" fontId="32" fillId="22" borderId="0" xfId="0" applyFont="1" applyFill="1" applyAlignment="1">
      <alignment horizontal="center" vertical="center"/>
    </xf>
    <xf numFmtId="4" fontId="32" fillId="22" borderId="0" xfId="0" applyNumberFormat="1" applyFont="1" applyFill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/>
    <xf numFmtId="0" fontId="0" fillId="0" borderId="0" xfId="0"/>
    <xf numFmtId="1" fontId="4" fillId="0" borderId="43" xfId="0" applyNumberFormat="1" applyFont="1" applyFill="1" applyBorder="1" applyAlignment="1">
      <alignment horizontal="center"/>
    </xf>
    <xf numFmtId="3" fontId="6" fillId="0" borderId="42" xfId="0" applyNumberFormat="1" applyFont="1" applyFill="1" applyBorder="1" applyAlignment="1">
      <alignment horizontal="center"/>
    </xf>
    <xf numFmtId="0" fontId="0" fillId="0" borderId="0" xfId="0"/>
    <xf numFmtId="3" fontId="6" fillId="14" borderId="25" xfId="4" applyNumberFormat="1" applyFont="1" applyFill="1" applyBorder="1" applyAlignment="1">
      <alignment horizontal="right"/>
    </xf>
    <xf numFmtId="3" fontId="4" fillId="10" borderId="25" xfId="0" applyNumberFormat="1" applyFont="1" applyFill="1" applyBorder="1"/>
    <xf numFmtId="3" fontId="4" fillId="10" borderId="25" xfId="4" applyNumberFormat="1" applyFont="1" applyFill="1" applyBorder="1" applyAlignment="1">
      <alignment horizontal="right"/>
    </xf>
    <xf numFmtId="3" fontId="4" fillId="11" borderId="25" xfId="4" applyNumberFormat="1" applyFont="1" applyFill="1" applyBorder="1" applyAlignment="1">
      <alignment horizontal="right"/>
    </xf>
    <xf numFmtId="3" fontId="0" fillId="28" borderId="0" xfId="0" applyNumberFormat="1" applyFill="1" applyBorder="1"/>
    <xf numFmtId="3" fontId="4" fillId="7" borderId="14" xfId="4" applyNumberFormat="1" applyFont="1" applyFill="1" applyBorder="1" applyAlignment="1">
      <alignment horizontal="right"/>
    </xf>
    <xf numFmtId="3" fontId="4" fillId="22" borderId="14" xfId="4" applyNumberFormat="1" applyFont="1" applyFill="1" applyBorder="1" applyAlignment="1">
      <alignment horizontal="right"/>
    </xf>
    <xf numFmtId="3" fontId="4" fillId="9" borderId="14" xfId="4" applyNumberFormat="1" applyFont="1" applyFill="1" applyBorder="1" applyAlignment="1">
      <alignment horizontal="right"/>
    </xf>
    <xf numFmtId="3" fontId="35" fillId="22" borderId="14" xfId="4" applyNumberFormat="1" applyFont="1" applyFill="1" applyBorder="1" applyAlignment="1">
      <alignment horizontal="right"/>
    </xf>
    <xf numFmtId="3" fontId="4" fillId="0" borderId="14" xfId="4" applyNumberFormat="1" applyFont="1" applyFill="1" applyBorder="1" applyAlignment="1">
      <alignment horizontal="right"/>
    </xf>
    <xf numFmtId="3" fontId="4" fillId="10" borderId="11" xfId="4" applyNumberFormat="1" applyFont="1" applyFill="1" applyBorder="1" applyAlignment="1">
      <alignment horizontal="right"/>
    </xf>
    <xf numFmtId="3" fontId="4" fillId="11" borderId="11" xfId="4" applyNumberFormat="1" applyFont="1" applyFill="1" applyBorder="1" applyAlignment="1">
      <alignment horizontal="right"/>
    </xf>
    <xf numFmtId="3" fontId="6" fillId="14" borderId="11" xfId="4" applyNumberFormat="1" applyFont="1" applyFill="1" applyBorder="1" applyAlignment="1">
      <alignment horizontal="right"/>
    </xf>
    <xf numFmtId="3" fontId="4" fillId="7" borderId="44" xfId="4" applyNumberFormat="1" applyFont="1" applyFill="1" applyBorder="1" applyAlignment="1">
      <alignment horizontal="right"/>
    </xf>
    <xf numFmtId="3" fontId="60" fillId="16" borderId="25" xfId="4" applyNumberFormat="1" applyFont="1" applyFill="1" applyBorder="1" applyAlignment="1">
      <alignment horizontal="right" vertical="center"/>
    </xf>
    <xf numFmtId="3" fontId="4" fillId="16" borderId="25" xfId="4" applyNumberFormat="1" applyFont="1" applyFill="1" applyBorder="1" applyAlignment="1">
      <alignment horizontal="right"/>
    </xf>
    <xf numFmtId="3" fontId="4" fillId="16" borderId="11" xfId="4" applyNumberFormat="1" applyFont="1" applyFill="1" applyBorder="1" applyAlignment="1">
      <alignment horizontal="right"/>
    </xf>
    <xf numFmtId="165" fontId="70" fillId="9" borderId="0" xfId="0" applyNumberFormat="1" applyFont="1" applyFill="1" applyBorder="1"/>
    <xf numFmtId="165" fontId="13" fillId="9" borderId="0" xfId="0" applyNumberFormat="1" applyFont="1" applyFill="1" applyBorder="1"/>
    <xf numFmtId="3" fontId="4" fillId="22" borderId="24" xfId="4" applyNumberFormat="1" applyFont="1" applyFill="1" applyBorder="1" applyAlignment="1">
      <alignment horizontal="left" vertical="center" wrapText="1"/>
    </xf>
    <xf numFmtId="0" fontId="0" fillId="22" borderId="24" xfId="0" applyFill="1" applyBorder="1" applyAlignment="1">
      <alignment horizontal="left" vertical="center" wrapText="1"/>
    </xf>
    <xf numFmtId="0" fontId="46" fillId="0" borderId="33" xfId="0" applyFont="1" applyFill="1" applyBorder="1" applyAlignment="1">
      <alignment horizontal="left" vertical="center" wrapText="1"/>
    </xf>
    <xf numFmtId="0" fontId="45" fillId="0" borderId="33" xfId="0" applyFont="1" applyFill="1" applyBorder="1" applyAlignment="1">
      <alignment horizontal="left" vertical="center"/>
    </xf>
    <xf numFmtId="3" fontId="23" fillId="0" borderId="24" xfId="0" applyNumberFormat="1" applyFont="1" applyBorder="1" applyAlignment="1">
      <alignment vertical="center" wrapText="1"/>
    </xf>
    <xf numFmtId="0" fontId="28" fillId="0" borderId="24" xfId="0" applyFont="1" applyBorder="1" applyAlignment="1">
      <alignment vertical="center" wrapText="1"/>
    </xf>
    <xf numFmtId="0" fontId="25" fillId="6" borderId="3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4" fillId="7" borderId="14" xfId="4" applyFont="1" applyFill="1" applyBorder="1" applyAlignment="1">
      <alignment horizontal="left"/>
    </xf>
    <xf numFmtId="0" fontId="4" fillId="7" borderId="15" xfId="4" applyFont="1" applyFill="1" applyBorder="1" applyAlignment="1">
      <alignment horizontal="left"/>
    </xf>
    <xf numFmtId="0" fontId="4" fillId="11" borderId="14" xfId="4" applyFont="1" applyFill="1" applyBorder="1" applyAlignment="1">
      <alignment horizontal="left"/>
    </xf>
    <xf numFmtId="0" fontId="4" fillId="11" borderId="15" xfId="4" applyFont="1" applyFill="1" applyBorder="1" applyAlignment="1">
      <alignment horizontal="left"/>
    </xf>
    <xf numFmtId="0" fontId="4" fillId="14" borderId="14" xfId="4" applyFont="1" applyFill="1" applyBorder="1" applyAlignment="1">
      <alignment horizontal="left"/>
    </xf>
    <xf numFmtId="0" fontId="4" fillId="14" borderId="15" xfId="4" applyFont="1" applyFill="1" applyBorder="1" applyAlignment="1">
      <alignment horizontal="left"/>
    </xf>
    <xf numFmtId="0" fontId="4" fillId="10" borderId="14" xfId="4" applyFont="1" applyFill="1" applyBorder="1" applyAlignment="1">
      <alignment horizontal="left"/>
    </xf>
    <xf numFmtId="0" fontId="4" fillId="10" borderId="15" xfId="4" applyFont="1" applyFill="1" applyBorder="1" applyAlignment="1">
      <alignment horizontal="left"/>
    </xf>
    <xf numFmtId="0" fontId="4" fillId="22" borderId="14" xfId="4" applyFont="1" applyFill="1" applyBorder="1" applyAlignment="1">
      <alignment horizontal="left"/>
    </xf>
    <xf numFmtId="0" fontId="4" fillId="22" borderId="15" xfId="4" applyFont="1" applyFill="1" applyBorder="1" applyAlignment="1">
      <alignment horizontal="left"/>
    </xf>
    <xf numFmtId="0" fontId="35" fillId="22" borderId="14" xfId="4" applyFont="1" applyFill="1" applyBorder="1" applyAlignment="1">
      <alignment horizontal="left"/>
    </xf>
    <xf numFmtId="0" fontId="35" fillId="22" borderId="15" xfId="4" applyFont="1" applyFill="1" applyBorder="1" applyAlignment="1">
      <alignment horizontal="left"/>
    </xf>
    <xf numFmtId="0" fontId="4" fillId="9" borderId="14" xfId="4" applyFont="1" applyFill="1" applyBorder="1" applyAlignment="1">
      <alignment horizontal="left"/>
    </xf>
    <xf numFmtId="0" fontId="4" fillId="9" borderId="15" xfId="4" applyFont="1" applyFill="1" applyBorder="1" applyAlignment="1">
      <alignment horizontal="left"/>
    </xf>
    <xf numFmtId="0" fontId="4" fillId="7" borderId="14" xfId="4" applyFont="1" applyFill="1" applyBorder="1">
      <alignment horizontal="left"/>
    </xf>
    <xf numFmtId="0" fontId="4" fillId="7" borderId="15" xfId="4" applyFont="1" applyFill="1" applyBorder="1">
      <alignment horizontal="left"/>
    </xf>
    <xf numFmtId="0" fontId="4" fillId="18" borderId="14" xfId="4" applyFont="1" applyFill="1" applyBorder="1" applyAlignment="1">
      <alignment horizontal="left"/>
    </xf>
    <xf numFmtId="0" fontId="4" fillId="18" borderId="15" xfId="4" applyFont="1" applyFill="1" applyBorder="1" applyAlignment="1">
      <alignment horizontal="left"/>
    </xf>
    <xf numFmtId="0" fontId="4" fillId="0" borderId="14" xfId="4" applyFont="1" applyFill="1" applyBorder="1" applyAlignment="1">
      <alignment horizontal="left"/>
    </xf>
    <xf numFmtId="0" fontId="4" fillId="0" borderId="15" xfId="4" applyFont="1" applyFill="1" applyBorder="1" applyAlignment="1">
      <alignment horizontal="left"/>
    </xf>
    <xf numFmtId="0" fontId="4" fillId="11" borderId="14" xfId="4" applyFont="1" applyFill="1" applyBorder="1">
      <alignment horizontal="left"/>
    </xf>
    <xf numFmtId="0" fontId="4" fillId="11" borderId="15" xfId="4" applyFont="1" applyFill="1" applyBorder="1">
      <alignment horizontal="left"/>
    </xf>
    <xf numFmtId="0" fontId="4" fillId="18" borderId="14" xfId="4" applyFont="1" applyFill="1" applyBorder="1">
      <alignment horizontal="left"/>
    </xf>
    <xf numFmtId="0" fontId="4" fillId="18" borderId="15" xfId="4" applyFont="1" applyFill="1" applyBorder="1">
      <alignment horizontal="left"/>
    </xf>
    <xf numFmtId="0" fontId="4" fillId="14" borderId="14" xfId="4" applyFont="1" applyFill="1" applyBorder="1">
      <alignment horizontal="left"/>
    </xf>
    <xf numFmtId="0" fontId="4" fillId="14" borderId="15" xfId="4" applyFont="1" applyFill="1" applyBorder="1">
      <alignment horizontal="left"/>
    </xf>
    <xf numFmtId="0" fontId="4" fillId="10" borderId="14" xfId="4" applyFont="1" applyFill="1" applyBorder="1">
      <alignment horizontal="left"/>
    </xf>
    <xf numFmtId="0" fontId="4" fillId="10" borderId="15" xfId="4" applyFont="1" applyFill="1" applyBorder="1">
      <alignment horizontal="left"/>
    </xf>
    <xf numFmtId="0" fontId="4" fillId="9" borderId="14" xfId="4" applyFont="1" applyFill="1" applyBorder="1">
      <alignment horizontal="left"/>
    </xf>
    <xf numFmtId="0" fontId="4" fillId="9" borderId="15" xfId="4" applyFont="1" applyFill="1" applyBorder="1">
      <alignment horizontal="left"/>
    </xf>
    <xf numFmtId="0" fontId="60" fillId="20" borderId="14" xfId="4" applyFont="1" applyFill="1" applyBorder="1" applyAlignment="1">
      <alignment horizontal="left" vertical="center"/>
    </xf>
    <xf numFmtId="0" fontId="60" fillId="20" borderId="15" xfId="4" applyFont="1" applyFill="1" applyBorder="1" applyAlignment="1">
      <alignment horizontal="left" vertical="center"/>
    </xf>
    <xf numFmtId="0" fontId="60" fillId="19" borderId="14" xfId="4" applyFont="1" applyFill="1" applyBorder="1" applyAlignment="1">
      <alignment horizontal="left" vertical="center"/>
    </xf>
    <xf numFmtId="0" fontId="60" fillId="19" borderId="15" xfId="4" applyFont="1" applyFill="1" applyBorder="1" applyAlignment="1">
      <alignment horizontal="left" vertical="center"/>
    </xf>
    <xf numFmtId="0" fontId="60" fillId="16" borderId="14" xfId="4" applyFont="1" applyFill="1" applyBorder="1" applyAlignment="1">
      <alignment horizontal="left" vertical="center"/>
    </xf>
    <xf numFmtId="0" fontId="60" fillId="16" borderId="15" xfId="4" applyFont="1" applyFill="1" applyBorder="1" applyAlignment="1">
      <alignment horizontal="left" vertical="center"/>
    </xf>
    <xf numFmtId="0" fontId="4" fillId="16" borderId="14" xfId="4" applyFont="1" applyFill="1" applyBorder="1">
      <alignment horizontal="left"/>
    </xf>
    <xf numFmtId="0" fontId="4" fillId="16" borderId="15" xfId="4" applyFont="1" applyFill="1" applyBorder="1">
      <alignment horizontal="left"/>
    </xf>
    <xf numFmtId="0" fontId="4" fillId="19" borderId="14" xfId="4" applyFont="1" applyFill="1" applyBorder="1">
      <alignment horizontal="left"/>
    </xf>
    <xf numFmtId="0" fontId="4" fillId="19" borderId="15" xfId="4" applyFont="1" applyFill="1" applyBorder="1">
      <alignment horizontal="left"/>
    </xf>
    <xf numFmtId="0" fontId="4" fillId="0" borderId="14" xfId="4" applyFont="1" applyFill="1" applyBorder="1">
      <alignment horizontal="left"/>
    </xf>
    <xf numFmtId="0" fontId="4" fillId="0" borderId="15" xfId="4" applyFont="1" applyFill="1" applyBorder="1">
      <alignment horizontal="left"/>
    </xf>
    <xf numFmtId="3" fontId="23" fillId="0" borderId="24" xfId="0" applyNumberFormat="1" applyFont="1" applyBorder="1" applyAlignment="1">
      <alignment horizontal="left" vertical="center" wrapText="1"/>
    </xf>
    <xf numFmtId="0" fontId="28" fillId="0" borderId="24" xfId="0" applyFont="1" applyBorder="1" applyAlignment="1">
      <alignment horizontal="left" vertical="center" wrapText="1"/>
    </xf>
    <xf numFmtId="0" fontId="55" fillId="0" borderId="0" xfId="0" applyFont="1" applyAlignment="1">
      <alignment horizontal="center" vertical="center" textRotation="90"/>
    </xf>
    <xf numFmtId="0" fontId="54" fillId="31" borderId="37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/>
    <xf numFmtId="4" fontId="6" fillId="4" borderId="0" xfId="2" applyFont="1" applyFill="1" applyBorder="1" applyAlignment="1">
      <alignment horizontal="center" vertical="center" shrinkToFit="1"/>
    </xf>
    <xf numFmtId="0" fontId="2" fillId="12" borderId="0" xfId="4" applyFont="1" applyFill="1" applyBorder="1" applyAlignment="1">
      <alignment horizontal="center" vertical="center" wrapText="1" shrinkToFit="1"/>
    </xf>
    <xf numFmtId="0" fontId="0" fillId="15" borderId="0" xfId="0" applyFill="1"/>
    <xf numFmtId="0" fontId="4" fillId="20" borderId="14" xfId="4" applyFont="1" applyFill="1" applyBorder="1">
      <alignment horizontal="left"/>
    </xf>
    <xf numFmtId="0" fontId="4" fillId="20" borderId="15" xfId="4" applyFont="1" applyFill="1" applyBorder="1">
      <alignment horizontal="left"/>
    </xf>
    <xf numFmtId="0" fontId="72" fillId="0" borderId="0" xfId="0" applyFont="1"/>
    <xf numFmtId="0" fontId="7" fillId="6" borderId="14" xfId="0" applyFont="1" applyFill="1" applyBorder="1" applyAlignment="1">
      <alignment horizontal="center" vertical="center" wrapText="1"/>
    </xf>
    <xf numFmtId="0" fontId="7" fillId="6" borderId="45" xfId="0" applyFont="1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4" fillId="0" borderId="0" xfId="0" applyFont="1"/>
    <xf numFmtId="0" fontId="4" fillId="33" borderId="0" xfId="0" applyFont="1" applyFill="1"/>
    <xf numFmtId="0" fontId="4" fillId="4" borderId="0" xfId="0" applyFont="1" applyFill="1"/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14" xfId="0" applyFont="1" applyBorder="1" applyAlignment="1">
      <alignment horizontal="left" vertical="top" wrapText="1"/>
    </xf>
    <xf numFmtId="0" fontId="76" fillId="0" borderId="45" xfId="0" applyFont="1" applyBorder="1" applyAlignment="1">
      <alignment horizontal="left" vertical="top" wrapText="1"/>
    </xf>
    <xf numFmtId="0" fontId="76" fillId="0" borderId="15" xfId="0" applyFont="1" applyBorder="1" applyAlignment="1">
      <alignment horizontal="left" vertical="top" wrapText="1"/>
    </xf>
    <xf numFmtId="14" fontId="77" fillId="0" borderId="15" xfId="0" applyNumberFormat="1" applyFont="1" applyBorder="1" applyAlignment="1">
      <alignment horizontal="center" vertical="center" wrapText="1"/>
    </xf>
    <xf numFmtId="0" fontId="9" fillId="0" borderId="0" xfId="0" applyFont="1"/>
    <xf numFmtId="0" fontId="4" fillId="7" borderId="46" xfId="4" applyFont="1" applyFill="1" applyBorder="1">
      <alignment horizontal="left"/>
    </xf>
    <xf numFmtId="0" fontId="4" fillId="7" borderId="47" xfId="4" applyFont="1" applyFill="1" applyBorder="1">
      <alignment horizontal="left"/>
    </xf>
    <xf numFmtId="0" fontId="4" fillId="7" borderId="48" xfId="4" applyFont="1" applyFill="1" applyBorder="1">
      <alignment horizontal="left"/>
    </xf>
    <xf numFmtId="0" fontId="4" fillId="7" borderId="49" xfId="4" applyFont="1" applyFill="1" applyBorder="1">
      <alignment horizontal="left"/>
    </xf>
    <xf numFmtId="3" fontId="4" fillId="7" borderId="46" xfId="4" applyNumberFormat="1" applyFont="1" applyFill="1" applyBorder="1" applyAlignment="1">
      <alignment horizontal="right"/>
    </xf>
    <xf numFmtId="0" fontId="3" fillId="0" borderId="0" xfId="0" applyFont="1"/>
    <xf numFmtId="0" fontId="3" fillId="33" borderId="0" xfId="0" applyFont="1" applyFill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78" fillId="0" borderId="0" xfId="0" applyFont="1"/>
    <xf numFmtId="0" fontId="78" fillId="0" borderId="0" xfId="0" applyFont="1" applyAlignment="1">
      <alignment horizontal="left" vertical="center"/>
    </xf>
    <xf numFmtId="0" fontId="78" fillId="0" borderId="0" xfId="0" applyFont="1" applyAlignment="1">
      <alignment vertical="center"/>
    </xf>
    <xf numFmtId="0" fontId="78" fillId="0" borderId="0" xfId="0" applyFont="1" applyAlignment="1">
      <alignment horizontal="left"/>
    </xf>
    <xf numFmtId="0" fontId="78" fillId="0" borderId="0" xfId="0" applyFont="1" applyAlignment="1">
      <alignment horizontal="right" vertical="center"/>
    </xf>
    <xf numFmtId="0" fontId="5" fillId="0" borderId="0" xfId="0" applyFont="1"/>
    <xf numFmtId="0" fontId="7" fillId="6" borderId="50" xfId="0" applyFont="1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/>
    </xf>
    <xf numFmtId="0" fontId="0" fillId="0" borderId="51" xfId="0" applyBorder="1"/>
    <xf numFmtId="0" fontId="76" fillId="0" borderId="50" xfId="0" applyFont="1" applyBorder="1" applyAlignment="1">
      <alignment horizontal="left" vertical="top" wrapText="1"/>
    </xf>
    <xf numFmtId="0" fontId="76" fillId="0" borderId="51" xfId="0" applyFont="1" applyBorder="1" applyAlignment="1">
      <alignment horizontal="left" vertical="top" wrapText="1"/>
    </xf>
    <xf numFmtId="14" fontId="77" fillId="0" borderId="51" xfId="0" applyNumberFormat="1" applyFont="1" applyBorder="1" applyAlignment="1">
      <alignment horizontal="center" vertical="top" wrapText="1"/>
    </xf>
    <xf numFmtId="14" fontId="77" fillId="0" borderId="0" xfId="0" applyNumberFormat="1" applyFont="1" applyAlignment="1">
      <alignment horizontal="center" vertical="top" wrapText="1"/>
    </xf>
    <xf numFmtId="0" fontId="4" fillId="7" borderId="52" xfId="4" applyFont="1" applyFill="1" applyBorder="1">
      <alignment horizontal="left"/>
    </xf>
    <xf numFmtId="0" fontId="4" fillId="7" borderId="53" xfId="4" applyFont="1" applyFill="1" applyBorder="1">
      <alignment horizontal="left"/>
    </xf>
    <xf numFmtId="0" fontId="6" fillId="0" borderId="0" xfId="4" applyFont="1" applyFill="1" applyAlignment="1">
      <alignment horizontal="center" vertical="center" wrapText="1" shrinkToFi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4" fillId="0" borderId="54" xfId="3" applyFont="1" applyFill="1" applyBorder="1" applyAlignment="1">
      <alignment horizontal="center" shrinkToFit="1"/>
    </xf>
    <xf numFmtId="3" fontId="4" fillId="0" borderId="54" xfId="0" applyNumberFormat="1" applyFont="1" applyBorder="1" applyAlignment="1">
      <alignment horizontal="center"/>
    </xf>
    <xf numFmtId="0" fontId="6" fillId="0" borderId="54" xfId="3" applyFont="1" applyFill="1" applyBorder="1" applyAlignment="1">
      <alignment horizontal="center" shrinkToFit="1"/>
    </xf>
    <xf numFmtId="1" fontId="4" fillId="0" borderId="54" xfId="0" applyNumberFormat="1" applyFont="1" applyBorder="1" applyAlignment="1">
      <alignment horizontal="center"/>
    </xf>
    <xf numFmtId="1" fontId="6" fillId="0" borderId="5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3" fontId="4" fillId="0" borderId="54" xfId="0" applyNumberFormat="1" applyFont="1" applyBorder="1"/>
    <xf numFmtId="0" fontId="2" fillId="0" borderId="0" xfId="4" applyFont="1" applyFill="1">
      <alignment horizontal="left"/>
    </xf>
    <xf numFmtId="0" fontId="4" fillId="0" borderId="0" xfId="0" applyFont="1" applyAlignment="1">
      <alignment horizontal="center"/>
    </xf>
    <xf numFmtId="0" fontId="4" fillId="0" borderId="0" xfId="4" applyFont="1" applyFill="1">
      <alignment horizontal="left"/>
    </xf>
    <xf numFmtId="3" fontId="4" fillId="0" borderId="0" xfId="4" applyNumberFormat="1" applyFont="1" applyFill="1" applyAlignment="1">
      <alignment horizontal="right"/>
    </xf>
    <xf numFmtId="3" fontId="79" fillId="22" borderId="0" xfId="0" applyNumberFormat="1" applyFont="1" applyFill="1"/>
    <xf numFmtId="0" fontId="6" fillId="0" borderId="0" xfId="4" applyFont="1" applyFill="1">
      <alignment horizontal="left"/>
    </xf>
    <xf numFmtId="49" fontId="11" fillId="0" borderId="0" xfId="0" applyNumberFormat="1" applyFont="1" applyAlignment="1">
      <alignment horizontal="center"/>
    </xf>
    <xf numFmtId="0" fontId="4" fillId="0" borderId="0" xfId="4" applyFont="1" applyFill="1" applyAlignment="1">
      <alignment horizontal="left" vertical="top"/>
    </xf>
    <xf numFmtId="3" fontId="4" fillId="0" borderId="55" xfId="4" applyNumberFormat="1" applyFont="1" applyFill="1" applyBorder="1" applyAlignment="1">
      <alignment horizontal="right"/>
    </xf>
    <xf numFmtId="3" fontId="4" fillId="0" borderId="56" xfId="4" applyNumberFormat="1" applyFont="1" applyFill="1" applyBorder="1" applyAlignment="1">
      <alignment horizontal="right"/>
    </xf>
    <xf numFmtId="3" fontId="4" fillId="0" borderId="57" xfId="4" applyNumberFormat="1" applyFont="1" applyFill="1" applyBorder="1" applyAlignment="1">
      <alignment horizontal="right"/>
    </xf>
    <xf numFmtId="0" fontId="32" fillId="34" borderId="0" xfId="0" applyFont="1" applyFill="1"/>
    <xf numFmtId="3" fontId="32" fillId="34" borderId="0" xfId="0" applyNumberFormat="1" applyFont="1" applyFill="1"/>
    <xf numFmtId="3" fontId="32" fillId="34" borderId="55" xfId="0" applyNumberFormat="1" applyFont="1" applyFill="1" applyBorder="1"/>
    <xf numFmtId="3" fontId="32" fillId="34" borderId="57" xfId="0" applyNumberFormat="1" applyFont="1" applyFill="1" applyBorder="1"/>
    <xf numFmtId="0" fontId="0" fillId="0" borderId="55" xfId="0" applyBorder="1"/>
    <xf numFmtId="0" fontId="0" fillId="0" borderId="57" xfId="0" applyBorder="1"/>
    <xf numFmtId="0" fontId="4" fillId="0" borderId="0" xfId="4" applyFont="1" applyFill="1">
      <alignment horizontal="left"/>
    </xf>
    <xf numFmtId="0" fontId="80" fillId="0" borderId="0" xfId="0" applyFont="1"/>
    <xf numFmtId="0" fontId="23" fillId="0" borderId="0" xfId="0" applyFont="1"/>
    <xf numFmtId="0" fontId="23" fillId="0" borderId="0" xfId="0" applyFont="1" applyAlignment="1">
      <alignment wrapText="1"/>
    </xf>
    <xf numFmtId="3" fontId="13" fillId="0" borderId="58" xfId="0" applyNumberFormat="1" applyFont="1" applyBorder="1"/>
    <xf numFmtId="46" fontId="81" fillId="0" borderId="0" xfId="0" applyNumberFormat="1" applyFont="1"/>
    <xf numFmtId="3" fontId="80" fillId="0" borderId="0" xfId="0" applyNumberFormat="1" applyFont="1"/>
    <xf numFmtId="0" fontId="23" fillId="0" borderId="0" xfId="0" applyFont="1" applyAlignment="1">
      <alignment horizontal="right"/>
    </xf>
    <xf numFmtId="3" fontId="4" fillId="22" borderId="55" xfId="4" applyNumberFormat="1" applyFont="1" applyFill="1" applyBorder="1" applyAlignment="1">
      <alignment horizontal="right"/>
    </xf>
    <xf numFmtId="3" fontId="4" fillId="22" borderId="57" xfId="4" applyNumberFormat="1" applyFont="1" applyFill="1" applyBorder="1" applyAlignment="1">
      <alignment horizontal="right"/>
    </xf>
    <xf numFmtId="49" fontId="4" fillId="0" borderId="0" xfId="0" applyNumberFormat="1" applyFont="1" applyAlignment="1">
      <alignment horizontal="center"/>
    </xf>
    <xf numFmtId="3" fontId="4" fillId="0" borderId="55" xfId="0" applyNumberFormat="1" applyFont="1" applyBorder="1"/>
    <xf numFmtId="0" fontId="82" fillId="0" borderId="59" xfId="0" applyFont="1" applyBorder="1"/>
    <xf numFmtId="3" fontId="82" fillId="0" borderId="59" xfId="0" applyNumberFormat="1" applyFont="1" applyBorder="1"/>
    <xf numFmtId="3" fontId="13" fillId="0" borderId="57" xfId="0" applyNumberFormat="1" applyFont="1" applyBorder="1"/>
    <xf numFmtId="49" fontId="4" fillId="0" borderId="0" xfId="0" applyNumberFormat="1" applyFont="1" applyAlignment="1">
      <alignment horizontal="left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wrapText="1"/>
    </xf>
    <xf numFmtId="0" fontId="0" fillId="34" borderId="0" xfId="0" applyFill="1"/>
    <xf numFmtId="3" fontId="0" fillId="34" borderId="0" xfId="0" applyNumberFormat="1" applyFill="1"/>
    <xf numFmtId="3" fontId="0" fillId="34" borderId="55" xfId="0" applyNumberFormat="1" applyFill="1" applyBorder="1"/>
    <xf numFmtId="3" fontId="0" fillId="34" borderId="57" xfId="0" applyNumberFormat="1" applyFill="1" applyBorder="1"/>
    <xf numFmtId="3" fontId="0" fillId="34" borderId="60" xfId="0" applyNumberFormat="1" applyFill="1" applyBorder="1"/>
    <xf numFmtId="3" fontId="83" fillId="0" borderId="0" xfId="0" applyNumberFormat="1" applyFont="1"/>
    <xf numFmtId="3" fontId="31" fillId="0" borderId="0" xfId="0" applyNumberFormat="1" applyFont="1"/>
    <xf numFmtId="49" fontId="0" fillId="0" borderId="0" xfId="0" applyNumberFormat="1" applyProtection="1">
      <protection locked="0"/>
    </xf>
    <xf numFmtId="3" fontId="84" fillId="0" borderId="0" xfId="0" applyNumberFormat="1" applyFont="1" applyProtection="1">
      <protection locked="0"/>
    </xf>
    <xf numFmtId="3" fontId="85" fillId="0" borderId="0" xfId="0" applyNumberFormat="1" applyFont="1"/>
    <xf numFmtId="0" fontId="31" fillId="0" borderId="0" xfId="0" applyFont="1"/>
    <xf numFmtId="0" fontId="32" fillId="0" borderId="61" xfId="0" applyFont="1" applyBorder="1" applyAlignment="1">
      <alignment horizontal="center"/>
    </xf>
    <xf numFmtId="0" fontId="32" fillId="0" borderId="36" xfId="0" applyFont="1" applyBorder="1" applyAlignment="1">
      <alignment horizontal="center"/>
    </xf>
    <xf numFmtId="0" fontId="32" fillId="0" borderId="62" xfId="0" applyFont="1" applyBorder="1" applyAlignment="1">
      <alignment horizontal="center"/>
    </xf>
    <xf numFmtId="3" fontId="84" fillId="0" borderId="0" xfId="0" applyNumberFormat="1" applyFont="1"/>
    <xf numFmtId="0" fontId="32" fillId="0" borderId="63" xfId="0" applyFont="1" applyBorder="1" applyAlignment="1">
      <alignment horizontal="center" wrapText="1"/>
    </xf>
    <xf numFmtId="0" fontId="32" fillId="0" borderId="0" xfId="0" applyFont="1" applyAlignment="1">
      <alignment horizontal="center"/>
    </xf>
    <xf numFmtId="0" fontId="32" fillId="0" borderId="64" xfId="0" applyFont="1" applyBorder="1" applyAlignment="1">
      <alignment horizontal="center" wrapText="1"/>
    </xf>
    <xf numFmtId="3" fontId="83" fillId="11" borderId="65" xfId="0" applyNumberFormat="1" applyFont="1" applyFill="1" applyBorder="1" applyProtection="1">
      <protection locked="0"/>
    </xf>
    <xf numFmtId="3" fontId="31" fillId="11" borderId="65" xfId="0" applyNumberFormat="1" applyFont="1" applyFill="1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66" xfId="0" applyNumberFormat="1" applyBorder="1"/>
    <xf numFmtId="3" fontId="0" fillId="0" borderId="63" xfId="0" applyNumberFormat="1" applyBorder="1"/>
    <xf numFmtId="0" fontId="0" fillId="0" borderId="64" xfId="0" applyBorder="1"/>
    <xf numFmtId="0" fontId="45" fillId="18" borderId="67" xfId="0" applyFont="1" applyFill="1" applyBorder="1"/>
    <xf numFmtId="0" fontId="45" fillId="18" borderId="68" xfId="0" applyFont="1" applyFill="1" applyBorder="1"/>
    <xf numFmtId="3" fontId="45" fillId="18" borderId="69" xfId="0" applyNumberFormat="1" applyFont="1" applyFill="1" applyBorder="1"/>
    <xf numFmtId="0" fontId="0" fillId="0" borderId="3" xfId="0" applyBorder="1"/>
    <xf numFmtId="0" fontId="0" fillId="0" borderId="4" xfId="0" applyBorder="1"/>
    <xf numFmtId="0" fontId="79" fillId="0" borderId="0" xfId="0" applyFont="1"/>
    <xf numFmtId="3" fontId="79" fillId="0" borderId="0" xfId="0" applyNumberFormat="1" applyFont="1"/>
    <xf numFmtId="3" fontId="45" fillId="22" borderId="67" xfId="0" applyNumberFormat="1" applyFont="1" applyFill="1" applyBorder="1"/>
    <xf numFmtId="3" fontId="45" fillId="22" borderId="68" xfId="0" applyNumberFormat="1" applyFont="1" applyFill="1" applyBorder="1"/>
    <xf numFmtId="3" fontId="45" fillId="22" borderId="69" xfId="0" applyNumberFormat="1" applyFont="1" applyFill="1" applyBorder="1"/>
    <xf numFmtId="0" fontId="31" fillId="21" borderId="0" xfId="0" applyFont="1" applyFill="1"/>
    <xf numFmtId="3" fontId="31" fillId="21" borderId="0" xfId="0" applyNumberFormat="1" applyFont="1" applyFill="1"/>
    <xf numFmtId="0" fontId="32" fillId="28" borderId="0" xfId="0" applyFont="1" applyFill="1"/>
    <xf numFmtId="3" fontId="32" fillId="28" borderId="0" xfId="0" applyNumberFormat="1" applyFont="1" applyFill="1"/>
    <xf numFmtId="0" fontId="45" fillId="9" borderId="0" xfId="0" applyFont="1" applyFill="1"/>
    <xf numFmtId="3" fontId="45" fillId="9" borderId="0" xfId="0" applyNumberFormat="1" applyFont="1" applyFill="1"/>
    <xf numFmtId="0" fontId="86" fillId="15" borderId="0" xfId="0" applyFont="1" applyFill="1"/>
    <xf numFmtId="3" fontId="86" fillId="15" borderId="0" xfId="0" applyNumberFormat="1" applyFont="1" applyFill="1"/>
    <xf numFmtId="0" fontId="71" fillId="0" borderId="0" xfId="0" applyFont="1"/>
    <xf numFmtId="0" fontId="87" fillId="0" borderId="0" xfId="0" applyFont="1"/>
    <xf numFmtId="0" fontId="79" fillId="22" borderId="0" xfId="0" applyFont="1" applyFill="1"/>
    <xf numFmtId="0" fontId="32" fillId="22" borderId="0" xfId="0" applyFont="1" applyFill="1"/>
    <xf numFmtId="0" fontId="4" fillId="7" borderId="50" xfId="4" applyFont="1" applyFill="1" applyBorder="1">
      <alignment horizontal="left"/>
    </xf>
    <xf numFmtId="0" fontId="4" fillId="7" borderId="51" xfId="4" applyFont="1" applyFill="1" applyBorder="1">
      <alignment horizontal="left"/>
    </xf>
    <xf numFmtId="3" fontId="4" fillId="7" borderId="70" xfId="4" applyNumberFormat="1" applyFont="1" applyFill="1" applyBorder="1" applyAlignment="1">
      <alignment horizontal="right"/>
    </xf>
    <xf numFmtId="3" fontId="4" fillId="7" borderId="20" xfId="4" applyNumberFormat="1" applyFont="1" applyFill="1" applyBorder="1" applyAlignment="1">
      <alignment horizontal="right"/>
    </xf>
    <xf numFmtId="0" fontId="82" fillId="0" borderId="0" xfId="0" applyFont="1" applyAlignment="1">
      <alignment horizontal="center" vertical="center"/>
    </xf>
    <xf numFmtId="3" fontId="4" fillId="7" borderId="58" xfId="4" applyNumberFormat="1" applyFont="1" applyFill="1" applyBorder="1" applyAlignment="1">
      <alignment horizontal="right"/>
    </xf>
    <xf numFmtId="165" fontId="23" fillId="0" borderId="0" xfId="0" applyNumberFormat="1" applyFont="1"/>
    <xf numFmtId="0" fontId="4" fillId="0" borderId="50" xfId="4" applyFont="1" applyFill="1" applyBorder="1">
      <alignment horizontal="left"/>
    </xf>
    <xf numFmtId="0" fontId="4" fillId="0" borderId="51" xfId="4" applyFont="1" applyFill="1" applyBorder="1">
      <alignment horizontal="left"/>
    </xf>
    <xf numFmtId="0" fontId="0" fillId="0" borderId="58" xfId="0" applyBorder="1"/>
    <xf numFmtId="3" fontId="0" fillId="34" borderId="71" xfId="0" applyNumberFormat="1" applyFill="1" applyBorder="1"/>
    <xf numFmtId="0" fontId="88" fillId="35" borderId="0" xfId="0" applyFont="1" applyFill="1"/>
    <xf numFmtId="0" fontId="89" fillId="22" borderId="26" xfId="0" applyFont="1" applyFill="1" applyBorder="1"/>
    <xf numFmtId="0" fontId="89" fillId="22" borderId="72" xfId="0" applyFont="1" applyFill="1" applyBorder="1"/>
    <xf numFmtId="167" fontId="89" fillId="22" borderId="72" xfId="0" applyNumberFormat="1" applyFont="1" applyFill="1" applyBorder="1"/>
    <xf numFmtId="0" fontId="89" fillId="22" borderId="27" xfId="0" applyFont="1" applyFill="1" applyBorder="1"/>
    <xf numFmtId="0" fontId="90" fillId="36" borderId="33" xfId="0" applyFont="1" applyFill="1" applyBorder="1"/>
    <xf numFmtId="0" fontId="90" fillId="36" borderId="0" xfId="0" applyFont="1" applyFill="1"/>
    <xf numFmtId="167" fontId="90" fillId="36" borderId="0" xfId="0" applyNumberFormat="1" applyFont="1" applyFill="1"/>
    <xf numFmtId="0" fontId="90" fillId="36" borderId="34" xfId="0" applyFont="1" applyFill="1" applyBorder="1"/>
    <xf numFmtId="3" fontId="14" fillId="7" borderId="58" xfId="4" applyNumberFormat="1" applyFont="1" applyFill="1" applyBorder="1" applyAlignment="1">
      <alignment horizontal="right"/>
    </xf>
    <xf numFmtId="0" fontId="91" fillId="36" borderId="28" xfId="0" applyFont="1" applyFill="1" applyBorder="1" applyAlignment="1">
      <alignment vertical="center" wrapText="1"/>
    </xf>
    <xf numFmtId="0" fontId="92" fillId="22" borderId="73" xfId="0" applyFont="1" applyFill="1" applyBorder="1" applyAlignment="1">
      <alignment horizontal="left" vertical="center" wrapText="1"/>
    </xf>
    <xf numFmtId="167" fontId="92" fillId="22" borderId="73" xfId="0" applyNumberFormat="1" applyFont="1" applyFill="1" applyBorder="1" applyAlignment="1">
      <alignment vertical="center"/>
    </xf>
    <xf numFmtId="0" fontId="92" fillId="22" borderId="29" xfId="0" applyFont="1" applyFill="1" applyBorder="1" applyAlignment="1">
      <alignment vertical="center"/>
    </xf>
    <xf numFmtId="0" fontId="0" fillId="0" borderId="74" xfId="0" applyBorder="1"/>
    <xf numFmtId="2" fontId="93" fillId="0" borderId="26" xfId="0" applyNumberFormat="1" applyFont="1" applyBorder="1"/>
    <xf numFmtId="2" fontId="78" fillId="0" borderId="75" xfId="0" applyNumberFormat="1" applyFont="1" applyBorder="1" applyAlignment="1">
      <alignment horizontal="center"/>
    </xf>
    <xf numFmtId="0" fontId="78" fillId="0" borderId="76" xfId="0" applyFont="1" applyBorder="1" applyAlignment="1">
      <alignment horizontal="center" vertical="top"/>
    </xf>
    <xf numFmtId="0" fontId="76" fillId="0" borderId="72" xfId="0" applyFont="1" applyBorder="1" applyAlignment="1">
      <alignment horizontal="center" vertical="top"/>
    </xf>
    <xf numFmtId="49" fontId="94" fillId="22" borderId="77" xfId="0" applyNumberFormat="1" applyFont="1" applyFill="1" applyBorder="1" applyAlignment="1">
      <alignment horizontal="center" vertical="top" shrinkToFit="1"/>
    </xf>
    <xf numFmtId="49" fontId="76" fillId="0" borderId="27" xfId="0" applyNumberFormat="1" applyFont="1" applyBorder="1" applyAlignment="1">
      <alignment horizontal="center" vertical="top" shrinkToFit="1"/>
    </xf>
    <xf numFmtId="49" fontId="76" fillId="0" borderId="0" xfId="0" applyNumberFormat="1" applyFont="1" applyAlignment="1">
      <alignment horizontal="center" vertical="top" shrinkToFit="1"/>
    </xf>
    <xf numFmtId="49" fontId="95" fillId="22" borderId="78" xfId="0" applyNumberFormat="1" applyFont="1" applyFill="1" applyBorder="1" applyAlignment="1">
      <alignment horizontal="center" vertical="top" shrinkToFit="1"/>
    </xf>
    <xf numFmtId="2" fontId="93" fillId="0" borderId="33" xfId="0" applyNumberFormat="1" applyFont="1" applyBorder="1"/>
    <xf numFmtId="2" fontId="5" fillId="0" borderId="79" xfId="0" applyNumberFormat="1" applyFont="1" applyBorder="1" applyAlignment="1">
      <alignment horizontal="center"/>
    </xf>
    <xf numFmtId="49" fontId="5" fillId="0" borderId="80" xfId="0" applyNumberFormat="1" applyFont="1" applyBorder="1" applyAlignment="1">
      <alignment horizontal="center" vertical="top"/>
    </xf>
    <xf numFmtId="0" fontId="5" fillId="0" borderId="73" xfId="0" applyFont="1" applyBorder="1" applyAlignment="1">
      <alignment horizontal="center" vertical="top"/>
    </xf>
    <xf numFmtId="0" fontId="94" fillId="22" borderId="81" xfId="0" applyFont="1" applyFill="1" applyBorder="1" applyAlignment="1">
      <alignment vertical="top" shrinkToFit="1"/>
    </xf>
    <xf numFmtId="0" fontId="73" fillId="0" borderId="29" xfId="0" applyFont="1" applyBorder="1" applyAlignment="1">
      <alignment horizontal="center" vertical="top" shrinkToFit="1"/>
    </xf>
    <xf numFmtId="0" fontId="73" fillId="0" borderId="80" xfId="0" applyFont="1" applyBorder="1" applyAlignment="1">
      <alignment horizontal="center" vertical="top" shrinkToFit="1"/>
    </xf>
    <xf numFmtId="0" fontId="73" fillId="0" borderId="0" xfId="0" applyFont="1" applyAlignment="1">
      <alignment horizontal="center" vertical="top" shrinkToFit="1"/>
    </xf>
    <xf numFmtId="0" fontId="95" fillId="22" borderId="82" xfId="0" applyFont="1" applyFill="1" applyBorder="1" applyAlignment="1">
      <alignment horizontal="center" vertical="top" shrinkToFit="1"/>
    </xf>
    <xf numFmtId="0" fontId="83" fillId="28" borderId="0" xfId="0" applyFont="1" applyFill="1"/>
    <xf numFmtId="3" fontId="83" fillId="28" borderId="0" xfId="0" applyNumberFormat="1" applyFont="1" applyFill="1"/>
    <xf numFmtId="49" fontId="78" fillId="0" borderId="83" xfId="0" applyNumberFormat="1" applyFont="1" applyBorder="1" applyAlignment="1">
      <alignment vertical="center"/>
    </xf>
    <xf numFmtId="0" fontId="78" fillId="0" borderId="84" xfId="0" applyFont="1" applyBorder="1" applyAlignment="1">
      <alignment vertical="center"/>
    </xf>
    <xf numFmtId="3" fontId="5" fillId="0" borderId="85" xfId="0" applyNumberFormat="1" applyFont="1" applyBorder="1" applyAlignment="1">
      <alignment horizontal="right" vertical="center"/>
    </xf>
    <xf numFmtId="3" fontId="5" fillId="0" borderId="83" xfId="0" applyNumberFormat="1" applyFont="1" applyBorder="1" applyAlignment="1">
      <alignment horizontal="right" vertical="center"/>
    </xf>
    <xf numFmtId="3" fontId="96" fillId="37" borderId="81" xfId="0" applyNumberFormat="1" applyFont="1" applyFill="1" applyBorder="1"/>
    <xf numFmtId="3" fontId="0" fillId="0" borderId="85" xfId="0" applyNumberFormat="1" applyBorder="1"/>
    <xf numFmtId="165" fontId="5" fillId="0" borderId="85" xfId="0" applyNumberFormat="1" applyFont="1" applyBorder="1"/>
    <xf numFmtId="165" fontId="5" fillId="0" borderId="0" xfId="0" applyNumberFormat="1" applyFont="1"/>
    <xf numFmtId="0" fontId="97" fillId="0" borderId="0" xfId="0" applyFont="1"/>
    <xf numFmtId="168" fontId="97" fillId="0" borderId="0" xfId="0" applyNumberFormat="1" applyFont="1"/>
    <xf numFmtId="0" fontId="32" fillId="0" borderId="0" xfId="0" applyFont="1"/>
    <xf numFmtId="0" fontId="0" fillId="21" borderId="0" xfId="0" applyFill="1"/>
    <xf numFmtId="0" fontId="31" fillId="21" borderId="0" xfId="0" applyFont="1" applyFill="1" applyAlignment="1">
      <alignment horizontal="right"/>
    </xf>
    <xf numFmtId="3" fontId="31" fillId="21" borderId="0" xfId="0" applyNumberFormat="1" applyFont="1" applyFill="1" applyAlignment="1">
      <alignment horizontal="right"/>
    </xf>
    <xf numFmtId="3" fontId="36" fillId="22" borderId="0" xfId="4" applyNumberFormat="1" applyFont="1" applyFill="1" applyAlignment="1">
      <alignment horizontal="right"/>
    </xf>
    <xf numFmtId="3" fontId="98" fillId="0" borderId="54" xfId="0" applyNumberFormat="1" applyFont="1" applyBorder="1" applyAlignment="1">
      <alignment horizontal="center"/>
    </xf>
    <xf numFmtId="1" fontId="98" fillId="0" borderId="54" xfId="0" applyNumberFormat="1" applyFont="1" applyBorder="1" applyAlignment="1">
      <alignment horizontal="center"/>
    </xf>
    <xf numFmtId="3" fontId="98" fillId="0" borderId="54" xfId="0" applyNumberFormat="1" applyFont="1" applyBorder="1"/>
    <xf numFmtId="3" fontId="98" fillId="0" borderId="0" xfId="4" applyNumberFormat="1" applyFont="1" applyFill="1" applyAlignment="1">
      <alignment horizontal="right"/>
    </xf>
    <xf numFmtId="49" fontId="11" fillId="0" borderId="0" xfId="0" applyNumberFormat="1" applyFont="1" applyAlignment="1">
      <alignment horizontal="left"/>
    </xf>
    <xf numFmtId="0" fontId="4" fillId="7" borderId="0" xfId="4" applyFont="1" applyFill="1">
      <alignment horizontal="left"/>
    </xf>
    <xf numFmtId="3" fontId="4" fillId="7" borderId="0" xfId="4" applyNumberFormat="1" applyFont="1" applyFill="1" applyAlignment="1">
      <alignment horizontal="right"/>
    </xf>
    <xf numFmtId="3" fontId="4" fillId="4" borderId="0" xfId="0" applyNumberFormat="1" applyFont="1" applyFill="1"/>
    <xf numFmtId="3" fontId="98" fillId="4" borderId="0" xfId="0" applyNumberFormat="1" applyFont="1" applyFill="1"/>
    <xf numFmtId="3" fontId="4" fillId="7" borderId="56" xfId="4" applyNumberFormat="1" applyFont="1" applyFill="1" applyBorder="1" applyAlignment="1">
      <alignment horizontal="right"/>
    </xf>
    <xf numFmtId="0" fontId="0" fillId="38" borderId="0" xfId="0" applyFill="1"/>
    <xf numFmtId="3" fontId="0" fillId="38" borderId="0" xfId="0" applyNumberFormat="1" applyFill="1"/>
    <xf numFmtId="0" fontId="22" fillId="0" borderId="0" xfId="0" applyFont="1"/>
    <xf numFmtId="0" fontId="13" fillId="22" borderId="0" xfId="0" applyFont="1" applyFill="1"/>
    <xf numFmtId="3" fontId="13" fillId="22" borderId="0" xfId="0" applyNumberFormat="1" applyFont="1" applyFill="1"/>
    <xf numFmtId="3" fontId="4" fillId="7" borderId="57" xfId="4" applyNumberFormat="1" applyFont="1" applyFill="1" applyBorder="1" applyAlignment="1">
      <alignment horizontal="right"/>
    </xf>
    <xf numFmtId="0" fontId="23" fillId="0" borderId="0" xfId="0" applyFont="1" applyAlignment="1">
      <alignment vertical="center" wrapText="1"/>
    </xf>
    <xf numFmtId="3" fontId="99" fillId="34" borderId="0" xfId="0" applyNumberFormat="1" applyFont="1" applyFill="1"/>
    <xf numFmtId="0" fontId="99" fillId="0" borderId="0" xfId="0" applyFont="1"/>
    <xf numFmtId="0" fontId="23" fillId="0" borderId="0" xfId="0" applyFont="1" applyAlignment="1">
      <alignment vertical="top"/>
    </xf>
    <xf numFmtId="0" fontId="23" fillId="0" borderId="0" xfId="0" applyFont="1"/>
    <xf numFmtId="3" fontId="32" fillId="21" borderId="0" xfId="0" applyNumberFormat="1" applyFont="1" applyFill="1"/>
    <xf numFmtId="3" fontId="0" fillId="21" borderId="0" xfId="0" applyNumberFormat="1" applyFill="1"/>
    <xf numFmtId="3" fontId="99" fillId="21" borderId="0" xfId="0" applyNumberFormat="1" applyFont="1" applyFill="1"/>
    <xf numFmtId="0" fontId="13" fillId="0" borderId="0" xfId="0" applyFont="1" applyAlignment="1">
      <alignment horizontal="center"/>
    </xf>
    <xf numFmtId="0" fontId="100" fillId="18" borderId="0" xfId="0" applyFont="1" applyFill="1"/>
    <xf numFmtId="0" fontId="101" fillId="0" borderId="0" xfId="0" applyFont="1"/>
    <xf numFmtId="3" fontId="45" fillId="22" borderId="68" xfId="0" applyNumberFormat="1" applyFont="1" applyFill="1" applyBorder="1" applyAlignment="1">
      <alignment horizontal="right"/>
    </xf>
    <xf numFmtId="0" fontId="102" fillId="0" borderId="0" xfId="0" applyFont="1"/>
    <xf numFmtId="0" fontId="103" fillId="0" borderId="4" xfId="0" applyFont="1" applyBorder="1"/>
    <xf numFmtId="4" fontId="103" fillId="0" borderId="4" xfId="0" applyNumberFormat="1" applyFont="1" applyBorder="1" applyAlignment="1">
      <alignment horizontal="right"/>
    </xf>
    <xf numFmtId="0" fontId="28" fillId="0" borderId="4" xfId="0" applyFont="1" applyBorder="1"/>
    <xf numFmtId="0" fontId="28" fillId="0" borderId="4" xfId="0" applyFont="1" applyBorder="1" applyAlignment="1">
      <alignment horizontal="left" wrapText="1"/>
    </xf>
    <xf numFmtId="0" fontId="103" fillId="0" borderId="0" xfId="0" applyFont="1"/>
    <xf numFmtId="4" fontId="103" fillId="0" borderId="0" xfId="0" applyNumberFormat="1" applyFont="1" applyAlignment="1">
      <alignment horizontal="right"/>
    </xf>
    <xf numFmtId="0" fontId="28" fillId="0" borderId="0" xfId="0" applyFont="1"/>
    <xf numFmtId="0" fontId="28" fillId="0" borderId="0" xfId="0" applyFont="1" applyAlignment="1">
      <alignment horizontal="left" wrapText="1"/>
    </xf>
    <xf numFmtId="0" fontId="28" fillId="0" borderId="4" xfId="0" applyFont="1" applyBorder="1" applyAlignment="1">
      <alignment horizontal="right" wrapText="1"/>
    </xf>
  </cellXfs>
  <cellStyles count="7">
    <cellStyle name="___row1" xfId="4" xr:uid="{00000000-0005-0000-0000-000000000000}"/>
    <cellStyle name="__page" xfId="1" xr:uid="{00000000-0005-0000-0000-000001000000}"/>
    <cellStyle name="_data" xfId="2" xr:uid="{00000000-0005-0000-0000-000002000000}"/>
    <cellStyle name="_page" xfId="3" xr:uid="{00000000-0005-0000-0000-000003000000}"/>
    <cellStyle name="Normální" xfId="0" builtinId="0"/>
    <cellStyle name="Procenta" xfId="6" builtinId="5"/>
    <cellStyle name="Zvýraznění 2" xfId="5" builtinId="33"/>
  </cellStyles>
  <dxfs count="615"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color rgb="FF00DA63"/>
      </font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DCDCD"/>
        </patternFill>
      </fill>
    </dxf>
    <dxf>
      <font>
        <b/>
        <i val="0"/>
      </font>
      <fill>
        <patternFill>
          <bgColor rgb="FFDCDCDC"/>
        </patternFill>
      </fill>
    </dxf>
    <dxf>
      <fill>
        <patternFill>
          <bgColor rgb="FFE2E2E2"/>
        </patternFill>
      </fill>
    </dxf>
    <dxf>
      <fill>
        <patternFill>
          <bgColor rgb="FFEEEEEE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C506"/>
      <color rgb="FFF8F200"/>
      <color rgb="FF01FF74"/>
      <color rgb="FF5DFFA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0</xdr:rowOff>
    </xdr:from>
    <xdr:to>
      <xdr:col>8</xdr:col>
      <xdr:colOff>533400</xdr:colOff>
      <xdr:row>6</xdr:row>
      <xdr:rowOff>173934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1143000"/>
          <a:ext cx="15811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74544</xdr:colOff>
      <xdr:row>6</xdr:row>
      <xdr:rowOff>41413</xdr:rowOff>
    </xdr:from>
    <xdr:to>
      <xdr:col>8</xdr:col>
      <xdr:colOff>607944</xdr:colOff>
      <xdr:row>7</xdr:row>
      <xdr:rowOff>24848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2283" y="1184413"/>
          <a:ext cx="1585291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533400</xdr:colOff>
      <xdr:row>7</xdr:row>
      <xdr:rowOff>173935</xdr:rowOff>
    </xdr:to>
    <xdr:pic>
      <xdr:nvPicPr>
        <xdr:cNvPr id="1031" name="Pictur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1314450"/>
          <a:ext cx="15811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419100</xdr:colOff>
      <xdr:row>7</xdr:row>
      <xdr:rowOff>173935</xdr:rowOff>
    </xdr:to>
    <xdr:pic>
      <xdr:nvPicPr>
        <xdr:cNvPr id="1036" name="Pictur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9</xdr:col>
      <xdr:colOff>419101</xdr:colOff>
      <xdr:row>5</xdr:row>
      <xdr:rowOff>172278</xdr:rowOff>
    </xdr:to>
    <xdr:pic>
      <xdr:nvPicPr>
        <xdr:cNvPr id="1038" name="Picture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962025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419101</xdr:colOff>
      <xdr:row>7</xdr:row>
      <xdr:rowOff>173935</xdr:rowOff>
    </xdr:to>
    <xdr:pic>
      <xdr:nvPicPr>
        <xdr:cNvPr id="1039" name="Picture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10</xdr:col>
      <xdr:colOff>419099</xdr:colOff>
      <xdr:row>5</xdr:row>
      <xdr:rowOff>173935</xdr:rowOff>
    </xdr:to>
    <xdr:pic>
      <xdr:nvPicPr>
        <xdr:cNvPr id="1041" name="Picture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9715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10</xdr:col>
      <xdr:colOff>419099</xdr:colOff>
      <xdr:row>7</xdr:row>
      <xdr:rowOff>173935</xdr:rowOff>
    </xdr:to>
    <xdr:pic>
      <xdr:nvPicPr>
        <xdr:cNvPr id="1042" name="Picture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11</xdr:col>
      <xdr:colOff>419101</xdr:colOff>
      <xdr:row>7</xdr:row>
      <xdr:rowOff>173935</xdr:rowOff>
    </xdr:to>
    <xdr:pic>
      <xdr:nvPicPr>
        <xdr:cNvPr id="1045" name="Picture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75" y="1314450"/>
          <a:ext cx="1466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7</xdr:row>
      <xdr:rowOff>0</xdr:rowOff>
    </xdr:from>
    <xdr:ext cx="1466849" cy="173935"/>
    <xdr:pic>
      <xdr:nvPicPr>
        <xdr:cNvPr id="11" name="Picture 17">
          <a:extLst>
            <a:ext uri="{FF2B5EF4-FFF2-40B4-BE49-F238E27FC236}">
              <a16:creationId xmlns:a16="http://schemas.microsoft.com/office/drawing/2014/main" id="{C20E5CDC-DA3C-4AAA-ADB6-DEC64F28D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6917" y="1661583"/>
          <a:ext cx="1466849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</xdr:row>
      <xdr:rowOff>0</xdr:rowOff>
    </xdr:from>
    <xdr:ext cx="1466851" cy="172278"/>
    <xdr:pic>
      <xdr:nvPicPr>
        <xdr:cNvPr id="12" name="Picture 14">
          <a:extLst>
            <a:ext uri="{FF2B5EF4-FFF2-40B4-BE49-F238E27FC236}">
              <a16:creationId xmlns:a16="http://schemas.microsoft.com/office/drawing/2014/main" id="{ED09907F-9501-4A8E-A28B-DA2332BFC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67" y="1661583"/>
          <a:ext cx="1466851" cy="172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5</xdr:row>
      <xdr:rowOff>0</xdr:rowOff>
    </xdr:from>
    <xdr:ext cx="1466849" cy="173935"/>
    <xdr:pic>
      <xdr:nvPicPr>
        <xdr:cNvPr id="13" name="Picture 17">
          <a:extLst>
            <a:ext uri="{FF2B5EF4-FFF2-40B4-BE49-F238E27FC236}">
              <a16:creationId xmlns:a16="http://schemas.microsoft.com/office/drawing/2014/main" id="{64588A78-1B49-44D2-A6DF-AED9B2DF9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6917" y="1661583"/>
          <a:ext cx="1466849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19050</xdr:rowOff>
    </xdr:from>
    <xdr:to>
      <xdr:col>3</xdr:col>
      <xdr:colOff>104775</xdr:colOff>
      <xdr:row>2</xdr:row>
      <xdr:rowOff>346075</xdr:rowOff>
    </xdr:to>
    <xdr:pic>
      <xdr:nvPicPr>
        <xdr:cNvPr id="2" name="WordPictureWatermark3" descr="ilustrator kopie">
          <a:extLst>
            <a:ext uri="{FF2B5EF4-FFF2-40B4-BE49-F238E27FC236}">
              <a16:creationId xmlns:a16="http://schemas.microsoft.com/office/drawing/2014/main" id="{1B78052F-EB71-4B48-B88B-26EB23C95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304800" y="266700"/>
          <a:ext cx="847725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</xdr:row>
      <xdr:rowOff>28575</xdr:rowOff>
    </xdr:from>
    <xdr:to>
      <xdr:col>3</xdr:col>
      <xdr:colOff>123825</xdr:colOff>
      <xdr:row>2</xdr:row>
      <xdr:rowOff>355600</xdr:rowOff>
    </xdr:to>
    <xdr:pic>
      <xdr:nvPicPr>
        <xdr:cNvPr id="2" name="WordPictureWatermark3" descr="ilustrator kopie">
          <a:extLst>
            <a:ext uri="{FF2B5EF4-FFF2-40B4-BE49-F238E27FC236}">
              <a16:creationId xmlns:a16="http://schemas.microsoft.com/office/drawing/2014/main" id="{8B703B21-C754-47A8-8143-E97B015B4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323850" y="276225"/>
          <a:ext cx="847725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11</xdr:row>
      <xdr:rowOff>142875</xdr:rowOff>
    </xdr:from>
    <xdr:to>
      <xdr:col>16</xdr:col>
      <xdr:colOff>1447799</xdr:colOff>
      <xdr:row>23</xdr:row>
      <xdr:rowOff>76200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66C69C2-CC19-42D7-ADD9-B52AE61B8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6450" y="2295525"/>
          <a:ext cx="4352924" cy="221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7</xdr:col>
      <xdr:colOff>495299</xdr:colOff>
      <xdr:row>9</xdr:row>
      <xdr:rowOff>173934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A95B535-839F-495D-A1B0-504AEC5B0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714500"/>
          <a:ext cx="1581149" cy="17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495299</xdr:colOff>
      <xdr:row>8</xdr:row>
      <xdr:rowOff>173935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FE9F8F0A-BB8B-4D2A-AE2D-B71FE1FA9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524000"/>
          <a:ext cx="1581149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7</xdr:col>
      <xdr:colOff>495299</xdr:colOff>
      <xdr:row>10</xdr:row>
      <xdr:rowOff>173935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DCC17795-4C1A-40C8-B1E6-7CB0FD435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905000"/>
          <a:ext cx="1581149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676275</xdr:colOff>
      <xdr:row>10</xdr:row>
      <xdr:rowOff>173935</xdr:rowOff>
    </xdr:to>
    <xdr:pic>
      <xdr:nvPicPr>
        <xdr:cNvPr id="5" name="Picture 12">
          <a:extLst>
            <a:ext uri="{FF2B5EF4-FFF2-40B4-BE49-F238E27FC236}">
              <a16:creationId xmlns:a16="http://schemas.microsoft.com/office/drawing/2014/main" id="{A397FEB4-B08C-4ACF-851F-A977EDDC3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1466850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47625</xdr:rowOff>
    </xdr:from>
    <xdr:to>
      <xdr:col>8</xdr:col>
      <xdr:colOff>676276</xdr:colOff>
      <xdr:row>8</xdr:row>
      <xdr:rowOff>29403</xdr:rowOff>
    </xdr:to>
    <xdr:pic>
      <xdr:nvPicPr>
        <xdr:cNvPr id="6" name="Picture 14">
          <a:extLst>
            <a:ext uri="{FF2B5EF4-FFF2-40B4-BE49-F238E27FC236}">
              <a16:creationId xmlns:a16="http://schemas.microsoft.com/office/drawing/2014/main" id="{174A6D6C-B6EE-4566-AC49-74DFFDB84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381125"/>
          <a:ext cx="1466851" cy="172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676276</xdr:colOff>
      <xdr:row>10</xdr:row>
      <xdr:rowOff>173935</xdr:rowOff>
    </xdr:to>
    <xdr:pic>
      <xdr:nvPicPr>
        <xdr:cNvPr id="7" name="Picture 15">
          <a:extLst>
            <a:ext uri="{FF2B5EF4-FFF2-40B4-BE49-F238E27FC236}">
              <a16:creationId xmlns:a16="http://schemas.microsoft.com/office/drawing/2014/main" id="{9BBD1820-8884-4A09-A49F-99391E3D6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1466851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409575</xdr:colOff>
      <xdr:row>8</xdr:row>
      <xdr:rowOff>173935</xdr:rowOff>
    </xdr:to>
    <xdr:pic>
      <xdr:nvPicPr>
        <xdr:cNvPr id="8" name="Picture 17">
          <a:extLst>
            <a:ext uri="{FF2B5EF4-FFF2-40B4-BE49-F238E27FC236}">
              <a16:creationId xmlns:a16="http://schemas.microsoft.com/office/drawing/2014/main" id="{AED153C8-06F9-4BFC-B8E0-44BACB407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524000"/>
          <a:ext cx="1466850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9</xdr:col>
      <xdr:colOff>409575</xdr:colOff>
      <xdr:row>10</xdr:row>
      <xdr:rowOff>173935</xdr:rowOff>
    </xdr:to>
    <xdr:pic>
      <xdr:nvPicPr>
        <xdr:cNvPr id="9" name="Picture 18">
          <a:extLst>
            <a:ext uri="{FF2B5EF4-FFF2-40B4-BE49-F238E27FC236}">
              <a16:creationId xmlns:a16="http://schemas.microsoft.com/office/drawing/2014/main" id="{1B2B8692-25B6-4485-BFF2-273F374E9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905000"/>
          <a:ext cx="1466850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600076</xdr:colOff>
      <xdr:row>10</xdr:row>
      <xdr:rowOff>173935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5C4B14B4-E14C-4D4E-877D-534007865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1905000"/>
          <a:ext cx="1466851" cy="17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38"/>
  <sheetViews>
    <sheetView tabSelected="1" zoomScale="90" zoomScaleNormal="90" workbookViewId="0">
      <pane xSplit="7" ySplit="10" topLeftCell="H11" activePane="bottomRight" state="frozen"/>
      <selection pane="topRight" activeCell="G1" sqref="G1"/>
      <selection pane="bottomLeft" activeCell="A10" sqref="A10"/>
      <selection pane="bottomRight"/>
    </sheetView>
  </sheetViews>
  <sheetFormatPr defaultColWidth="4.42578125" defaultRowHeight="15" x14ac:dyDescent="0.25"/>
  <cols>
    <col min="1" max="1" width="11.7109375" customWidth="1"/>
    <col min="2" max="2" width="11.7109375" style="316" customWidth="1"/>
    <col min="3" max="4" width="7.42578125" style="17" customWidth="1"/>
    <col min="5" max="5" width="7.42578125" style="18" customWidth="1"/>
    <col min="6" max="6" width="18.28515625" customWidth="1"/>
    <col min="7" max="7" width="23.28515625" customWidth="1"/>
    <col min="8" max="11" width="15.7109375" customWidth="1"/>
    <col min="12" max="12" width="19.7109375" customWidth="1"/>
    <col min="13" max="13" width="51.42578125" style="104" customWidth="1"/>
    <col min="14" max="14" width="19.42578125" style="104" customWidth="1"/>
    <col min="15" max="15" width="15.7109375" customWidth="1"/>
    <col min="16" max="16" width="7.7109375" customWidth="1"/>
    <col min="17" max="17" width="20.7109375" customWidth="1"/>
    <col min="18" max="18" width="7.7109375" customWidth="1"/>
    <col min="19" max="19" width="18.42578125" customWidth="1"/>
    <col min="20" max="20" width="14.28515625" customWidth="1"/>
    <col min="21" max="22" width="18" style="327" customWidth="1"/>
    <col min="23" max="23" width="6.140625" customWidth="1"/>
  </cols>
  <sheetData>
    <row r="1" spans="1:23" ht="45" x14ac:dyDescent="0.25">
      <c r="K1" s="320" t="s">
        <v>1866</v>
      </c>
      <c r="L1" s="321">
        <f>SUBTOTAL(9,L11:L828)</f>
        <v>-4.0082931518554688E-3</v>
      </c>
      <c r="M1" s="215" t="s">
        <v>1778</v>
      </c>
      <c r="N1" s="216">
        <f>180000000+10000000-N11</f>
        <v>84455243.00080204</v>
      </c>
      <c r="O1" s="293" t="s">
        <v>1779</v>
      </c>
      <c r="P1" s="294"/>
      <c r="Q1" s="294"/>
      <c r="R1" s="295" t="s">
        <v>1787</v>
      </c>
      <c r="S1" s="296">
        <f>N1/T5</f>
        <v>2.4542124738670911E-2</v>
      </c>
    </row>
    <row r="2" spans="1:23" ht="40.9" customHeight="1" thickBot="1" x14ac:dyDescent="0.3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217" t="s">
        <v>1772</v>
      </c>
      <c r="N2" s="217">
        <f>SUM(N3:N10)</f>
        <v>285544756.99919796</v>
      </c>
      <c r="O2" s="241" t="s">
        <v>1788</v>
      </c>
    </row>
    <row r="3" spans="1:23" ht="15" customHeight="1" x14ac:dyDescent="0.25">
      <c r="A3" s="356" t="s">
        <v>1670</v>
      </c>
      <c r="B3" s="357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218" t="s">
        <v>1832</v>
      </c>
      <c r="N3" s="219">
        <v>80000000</v>
      </c>
      <c r="O3" s="353" t="s">
        <v>1776</v>
      </c>
      <c r="Q3" s="237" t="s">
        <v>1781</v>
      </c>
      <c r="R3" s="237"/>
      <c r="S3" s="237"/>
      <c r="T3" s="238">
        <f>-J329</f>
        <v>3200975876.67694</v>
      </c>
      <c r="U3" s="238"/>
      <c r="V3" s="238"/>
      <c r="W3" t="s">
        <v>1782</v>
      </c>
    </row>
    <row r="4" spans="1:23" ht="15" customHeight="1" thickBot="1" x14ac:dyDescent="0.3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220" t="s">
        <v>1775</v>
      </c>
      <c r="N4" s="221">
        <v>100000000</v>
      </c>
      <c r="O4" s="353"/>
      <c r="P4" s="109"/>
      <c r="Q4" s="229" t="s">
        <v>1783</v>
      </c>
      <c r="R4" s="229"/>
      <c r="S4" s="229"/>
      <c r="T4" s="230">
        <f>-K329</f>
        <v>3255993753.269999</v>
      </c>
      <c r="U4" s="335"/>
      <c r="V4" s="335"/>
    </row>
    <row r="5" spans="1:23" ht="15" customHeight="1" thickBot="1" x14ac:dyDescent="0.3">
      <c r="A5" s="13"/>
      <c r="B5" s="13"/>
      <c r="C5" s="13"/>
      <c r="D5" s="13"/>
      <c r="E5" s="13"/>
      <c r="F5" s="118"/>
      <c r="G5" s="111"/>
      <c r="H5" s="13"/>
      <c r="I5" s="13"/>
      <c r="J5" s="13"/>
      <c r="K5" s="13"/>
      <c r="L5" s="13"/>
      <c r="M5" s="225" t="s">
        <v>1773</v>
      </c>
      <c r="N5" s="226">
        <v>10000000</v>
      </c>
      <c r="O5" s="352" t="s">
        <v>1777</v>
      </c>
      <c r="P5" s="110"/>
      <c r="Q5" s="231" t="s">
        <v>1786</v>
      </c>
      <c r="R5" s="231"/>
      <c r="S5" s="231"/>
      <c r="T5" s="232">
        <f>-L329</f>
        <v>3441235993.2197032</v>
      </c>
      <c r="U5" s="335"/>
      <c r="V5" s="335"/>
    </row>
    <row r="6" spans="1:23" ht="15" customHeight="1" x14ac:dyDescent="0.25">
      <c r="A6" s="13"/>
      <c r="B6" s="13"/>
      <c r="C6" s="13"/>
      <c r="D6" s="13"/>
      <c r="E6" s="13"/>
      <c r="F6" s="13"/>
      <c r="G6" s="112" t="s">
        <v>3</v>
      </c>
      <c r="H6" s="119" t="s">
        <v>4</v>
      </c>
      <c r="I6" s="120" t="s">
        <v>4</v>
      </c>
      <c r="J6" s="120" t="s">
        <v>4</v>
      </c>
      <c r="K6" s="120" t="s">
        <v>4</v>
      </c>
      <c r="L6" s="222" t="s">
        <v>1714</v>
      </c>
      <c r="M6" s="227" t="s">
        <v>1774</v>
      </c>
      <c r="N6" s="228">
        <v>20000000</v>
      </c>
      <c r="O6" s="352"/>
      <c r="P6" s="158"/>
      <c r="Q6" s="239" t="s">
        <v>1780</v>
      </c>
      <c r="R6" s="239"/>
      <c r="S6" s="239"/>
      <c r="T6" s="240">
        <f>T5-N1</f>
        <v>3356780750.2189012</v>
      </c>
      <c r="U6" s="238"/>
      <c r="V6" s="238"/>
      <c r="W6" s="110"/>
    </row>
    <row r="7" spans="1:23" ht="15" customHeight="1" x14ac:dyDescent="0.25">
      <c r="A7" s="13"/>
      <c r="B7" s="13"/>
      <c r="C7" s="13"/>
      <c r="D7" s="13"/>
      <c r="E7" s="13"/>
      <c r="F7" s="13"/>
      <c r="G7" s="112" t="s">
        <v>5</v>
      </c>
      <c r="H7" s="121" t="s">
        <v>0</v>
      </c>
      <c r="I7" s="113">
        <v>2018</v>
      </c>
      <c r="J7" s="113" t="s">
        <v>1</v>
      </c>
      <c r="K7" s="328">
        <v>2019</v>
      </c>
      <c r="L7" s="223">
        <v>2020</v>
      </c>
      <c r="M7" s="227" t="s">
        <v>1771</v>
      </c>
      <c r="N7" s="228">
        <v>20000000</v>
      </c>
      <c r="O7" s="352"/>
      <c r="P7" s="158"/>
      <c r="Q7" s="233" t="s">
        <v>1785</v>
      </c>
      <c r="R7" s="234"/>
      <c r="S7" s="235"/>
      <c r="T7" s="236">
        <f>T5-T4</f>
        <v>185242239.94970417</v>
      </c>
      <c r="U7" s="236"/>
      <c r="V7" s="236"/>
    </row>
    <row r="8" spans="1:23" ht="25.15" customHeight="1" thickBot="1" x14ac:dyDescent="0.3">
      <c r="A8" s="13"/>
      <c r="B8" s="13"/>
      <c r="C8" s="13"/>
      <c r="D8" s="13"/>
      <c r="E8" s="13"/>
      <c r="F8" s="114"/>
      <c r="G8" s="112" t="s">
        <v>6</v>
      </c>
      <c r="H8" s="122" t="s">
        <v>8</v>
      </c>
      <c r="I8" s="115" t="s">
        <v>8</v>
      </c>
      <c r="J8" s="116" t="s">
        <v>7</v>
      </c>
      <c r="K8" s="329" t="s">
        <v>8</v>
      </c>
      <c r="L8" s="224"/>
      <c r="M8" s="307" t="s">
        <v>1833</v>
      </c>
      <c r="N8" s="308">
        <f>800*37275*1.11*0.95</f>
        <v>31445190.000000004</v>
      </c>
      <c r="O8" s="352"/>
      <c r="P8" s="110"/>
      <c r="Q8" s="309" t="s">
        <v>1784</v>
      </c>
      <c r="R8" s="310"/>
      <c r="S8" s="311"/>
      <c r="T8" s="312">
        <f>T6-T3</f>
        <v>155804873.54196119</v>
      </c>
      <c r="U8" s="312"/>
      <c r="V8" s="312"/>
    </row>
    <row r="9" spans="1:23" ht="15" customHeight="1" thickBot="1" x14ac:dyDescent="0.3">
      <c r="A9" s="13"/>
      <c r="B9" s="13"/>
      <c r="C9" s="13"/>
      <c r="D9" s="13"/>
      <c r="E9" s="13"/>
      <c r="F9" s="13"/>
      <c r="G9" s="117"/>
      <c r="H9" s="13"/>
      <c r="I9" s="13"/>
      <c r="J9" s="13"/>
      <c r="K9" s="13"/>
      <c r="L9" s="13"/>
      <c r="M9" s="303" t="s">
        <v>1836</v>
      </c>
      <c r="N9" s="214">
        <f>+L10+SUM(N12:N12)</f>
        <v>-8.0204010009765625E-4</v>
      </c>
      <c r="O9" s="110"/>
      <c r="P9" s="110"/>
      <c r="Q9" s="110"/>
      <c r="R9" s="110"/>
      <c r="S9" s="110"/>
      <c r="T9" s="110"/>
      <c r="U9" s="110"/>
      <c r="V9" s="110"/>
    </row>
    <row r="10" spans="1:23" s="256" customFormat="1" ht="29.25" customHeight="1" thickTop="1" x14ac:dyDescent="0.25">
      <c r="A10" s="250" t="s">
        <v>9</v>
      </c>
      <c r="B10" s="250"/>
      <c r="C10" s="251" t="s">
        <v>915</v>
      </c>
      <c r="D10" s="93" t="s">
        <v>913</v>
      </c>
      <c r="E10" s="93" t="s">
        <v>914</v>
      </c>
      <c r="F10" s="252" t="s">
        <v>1688</v>
      </c>
      <c r="G10" s="253" t="s">
        <v>1689</v>
      </c>
      <c r="H10" s="254">
        <f>H11+H618</f>
        <v>186173175.68000126</v>
      </c>
      <c r="I10" s="254">
        <f>I11+I618</f>
        <v>150988797.60001373</v>
      </c>
      <c r="J10" s="255">
        <f>J11+J618</f>
        <v>297.39444923400879</v>
      </c>
      <c r="K10" s="255">
        <f>K11+K618</f>
        <v>181164398.91000271</v>
      </c>
      <c r="L10" s="213">
        <f>L11+L618</f>
        <v>-8.0204010009765625E-4</v>
      </c>
      <c r="M10" s="303" t="s">
        <v>1839</v>
      </c>
      <c r="N10" s="214">
        <v>24099567</v>
      </c>
      <c r="O10" s="125" t="s">
        <v>1715</v>
      </c>
      <c r="P10" s="125" t="s">
        <v>1718</v>
      </c>
      <c r="Q10" s="125" t="s">
        <v>1716</v>
      </c>
      <c r="R10" s="125" t="s">
        <v>1719</v>
      </c>
      <c r="S10" s="125" t="s">
        <v>1717</v>
      </c>
      <c r="T10" s="125" t="s">
        <v>1720</v>
      </c>
      <c r="U10" s="125" t="s">
        <v>1961</v>
      </c>
      <c r="V10" s="125" t="s">
        <v>1962</v>
      </c>
      <c r="W10" s="125" t="s">
        <v>1721</v>
      </c>
    </row>
    <row r="11" spans="1:23" s="292" customFormat="1" ht="15" customHeight="1" x14ac:dyDescent="0.25">
      <c r="A11" s="282" t="s">
        <v>10</v>
      </c>
      <c r="B11" s="282">
        <f>LEN(A11)</f>
        <v>2</v>
      </c>
      <c r="C11" s="283"/>
      <c r="D11" s="284"/>
      <c r="E11" s="284"/>
      <c r="F11" s="285"/>
      <c r="G11" s="284"/>
      <c r="H11" s="286">
        <f>H12+H220+H329+H388+H402+H497+H572+H591+H594+H604</f>
        <v>-5765412337.54</v>
      </c>
      <c r="I11" s="286">
        <f>I12+I220+I329+I388+I402+I497+I572+I591+I594+I604</f>
        <v>-6551766629.6399984</v>
      </c>
      <c r="J11" s="287">
        <f>J12+J220+J329+J388+J402+J497+J572+J591+J594+J604</f>
        <v>-7003665989.7987928</v>
      </c>
      <c r="K11" s="287">
        <f>K12+K220+K329+K388+K402+K497+K572+K591+K594+K604</f>
        <v>-7196886538.7199974</v>
      </c>
      <c r="L11" s="288">
        <f>L12+L220+L329+L388+L402+L497+L572+L591+L594+L604</f>
        <v>-7718184108.2423019</v>
      </c>
      <c r="M11" s="257" t="s">
        <v>1789</v>
      </c>
      <c r="N11" s="249">
        <f>SUM(N5:N10)</f>
        <v>105544756.99919796</v>
      </c>
      <c r="O11" s="290">
        <f t="shared" ref="O11:O74" si="0">-L11+J11</f>
        <v>714518118.4435091</v>
      </c>
      <c r="P11" s="291">
        <f t="shared" ref="P11:P74" si="1">IF(J11=0,"",L11/J11)</f>
        <v>1.1020205874301034</v>
      </c>
      <c r="Q11" s="290">
        <f t="shared" ref="Q11:Q74" si="2">-L11+I11</f>
        <v>1166417478.6023035</v>
      </c>
      <c r="R11" s="291">
        <f t="shared" ref="R11:R74" si="3">IF(I11=0,"",L11/I11)</f>
        <v>1.17803098683727</v>
      </c>
      <c r="S11" s="290">
        <f>-L11+K11</f>
        <v>521297569.52230453</v>
      </c>
      <c r="T11" s="291">
        <f>IF(K11=0,"",L11/K11)</f>
        <v>1.0724337623940114</v>
      </c>
      <c r="U11" s="290">
        <f>-K11+I11</f>
        <v>645119909.07999897</v>
      </c>
      <c r="V11" s="291">
        <f>IF(I11=0,"",K11/I11)</f>
        <v>1.0984650317307543</v>
      </c>
      <c r="W11" s="292">
        <f t="shared" ref="W11:W74" si="4">LEN(A11)</f>
        <v>2</v>
      </c>
    </row>
    <row r="12" spans="1:23" ht="15" customHeight="1" x14ac:dyDescent="0.25">
      <c r="A12" s="41" t="s">
        <v>11</v>
      </c>
      <c r="B12" s="282">
        <f t="shared" ref="B12:B75" si="5">LEN(A12)</f>
        <v>3</v>
      </c>
      <c r="C12" s="41"/>
      <c r="D12" s="40"/>
      <c r="E12" s="40"/>
      <c r="F12" s="363" t="s">
        <v>12</v>
      </c>
      <c r="G12" s="364"/>
      <c r="H12" s="43">
        <f t="shared" ref="H12:L12" si="6">H13+H169+H181+H182++H208</f>
        <v>-2525630792.1799994</v>
      </c>
      <c r="I12" s="43">
        <f t="shared" si="6"/>
        <v>-2947928823.999999</v>
      </c>
      <c r="J12" s="127">
        <f t="shared" si="6"/>
        <v>-3074723987.2617278</v>
      </c>
      <c r="K12" s="127">
        <f t="shared" si="6"/>
        <v>-3197178408.0099993</v>
      </c>
      <c r="L12" s="138">
        <f t="shared" si="6"/>
        <v>-3453995256.1125994</v>
      </c>
      <c r="M12" s="289"/>
      <c r="N12" s="289"/>
      <c r="O12" s="88">
        <f t="shared" si="0"/>
        <v>379271268.85087156</v>
      </c>
      <c r="P12" s="123">
        <f t="shared" si="1"/>
        <v>1.1233513220770885</v>
      </c>
      <c r="Q12" s="88">
        <f t="shared" si="2"/>
        <v>506066432.11260033</v>
      </c>
      <c r="R12" s="123">
        <f t="shared" si="3"/>
        <v>1.1716684704164351</v>
      </c>
      <c r="S12" s="88">
        <f>-L12+K12</f>
        <v>256816848.1026001</v>
      </c>
      <c r="T12" s="124">
        <f>IF(K12=0,"",L12/K12)</f>
        <v>1.0803260923629374</v>
      </c>
      <c r="U12" s="88">
        <f>-K12+I12</f>
        <v>249249584.01000023</v>
      </c>
      <c r="V12" s="124">
        <f>IF(I12=0,"",K12/I12)</f>
        <v>1.0845507469450355</v>
      </c>
      <c r="W12" s="157">
        <f t="shared" si="4"/>
        <v>3</v>
      </c>
    </row>
    <row r="13" spans="1:23" ht="11.25" customHeight="1" thickBot="1" x14ac:dyDescent="0.3">
      <c r="A13" s="38" t="s">
        <v>13</v>
      </c>
      <c r="B13" s="282">
        <f t="shared" si="5"/>
        <v>4</v>
      </c>
      <c r="C13" s="38"/>
      <c r="D13" s="22"/>
      <c r="E13" s="22"/>
      <c r="F13" s="365" t="s">
        <v>14</v>
      </c>
      <c r="G13" s="366"/>
      <c r="H13" s="37">
        <f t="shared" ref="H13:L13" si="7">H14+H16+H18+H20+H25+H44+H47+H97+H108+H129+H139+H149+H151+H155+H157+H164+H166</f>
        <v>-2249875022.4499993</v>
      </c>
      <c r="I13" s="37">
        <f t="shared" si="7"/>
        <v>-2615350514.3199992</v>
      </c>
      <c r="J13" s="128">
        <f t="shared" si="7"/>
        <v>-2717026737.035943</v>
      </c>
      <c r="K13" s="341">
        <f t="shared" si="7"/>
        <v>-2844950509.9099994</v>
      </c>
      <c r="L13" s="139">
        <f t="shared" si="7"/>
        <v>-3091567142.9999995</v>
      </c>
      <c r="M13" s="304" t="s">
        <v>1790</v>
      </c>
      <c r="N13" s="242"/>
      <c r="O13" s="175">
        <f t="shared" si="0"/>
        <v>374540405.96405649</v>
      </c>
      <c r="P13" s="176">
        <f t="shared" si="1"/>
        <v>1.1378493633716134</v>
      </c>
      <c r="Q13" s="175">
        <f t="shared" si="2"/>
        <v>476216628.68000031</v>
      </c>
      <c r="R13" s="176">
        <f t="shared" si="3"/>
        <v>1.1820852027567779</v>
      </c>
      <c r="S13" s="175">
        <f t="shared" ref="S13:S75" si="8">-L13+K13</f>
        <v>246616633.09000015</v>
      </c>
      <c r="T13" s="177">
        <f t="shared" ref="T13:T76" si="9">IF(K13=0,"",L13/K13)</f>
        <v>1.0866857374955889</v>
      </c>
      <c r="U13" s="175">
        <f t="shared" ref="U13:U76" si="10">-K13+I13</f>
        <v>229599995.59000015</v>
      </c>
      <c r="V13" s="177">
        <f t="shared" ref="V13:V76" si="11">IF(I13=0,"",K13/I13)</f>
        <v>1.0877893782622468</v>
      </c>
      <c r="W13" s="157">
        <f t="shared" si="4"/>
        <v>4</v>
      </c>
    </row>
    <row r="14" spans="1:23" ht="11.25" customHeight="1" thickTop="1" x14ac:dyDescent="0.25">
      <c r="A14" s="26" t="s">
        <v>1667</v>
      </c>
      <c r="B14" s="282">
        <f t="shared" si="5"/>
        <v>7</v>
      </c>
      <c r="C14" s="26"/>
      <c r="D14" s="23"/>
      <c r="E14" s="23"/>
      <c r="F14" s="361" t="s">
        <v>15</v>
      </c>
      <c r="G14" s="362"/>
      <c r="H14" s="25">
        <f t="shared" ref="H14:L14" si="12">SUM(H15)</f>
        <v>181228.51</v>
      </c>
      <c r="I14" s="25">
        <f t="shared" si="12"/>
        <v>161161.20000000001</v>
      </c>
      <c r="J14" s="129">
        <f t="shared" si="12"/>
        <v>0</v>
      </c>
      <c r="K14" s="129">
        <f t="shared" si="12"/>
        <v>114848.44</v>
      </c>
      <c r="L14" s="140">
        <f t="shared" si="12"/>
        <v>0</v>
      </c>
      <c r="M14" s="299" t="s">
        <v>1791</v>
      </c>
      <c r="N14" s="300">
        <v>13361700</v>
      </c>
      <c r="O14" s="88">
        <f t="shared" si="0"/>
        <v>0</v>
      </c>
      <c r="P14" s="123" t="str">
        <f t="shared" si="1"/>
        <v/>
      </c>
      <c r="Q14" s="88">
        <f t="shared" si="2"/>
        <v>161161.20000000001</v>
      </c>
      <c r="R14" s="123">
        <f t="shared" si="3"/>
        <v>0</v>
      </c>
      <c r="S14" s="88">
        <f t="shared" si="8"/>
        <v>114848.44</v>
      </c>
      <c r="T14" s="124">
        <f t="shared" si="9"/>
        <v>0</v>
      </c>
      <c r="U14" s="88">
        <f t="shared" si="10"/>
        <v>46312.760000000009</v>
      </c>
      <c r="V14" s="124">
        <f t="shared" si="11"/>
        <v>0.71263083173865671</v>
      </c>
      <c r="W14" s="157">
        <f t="shared" si="4"/>
        <v>7</v>
      </c>
    </row>
    <row r="15" spans="1:23" ht="11.25" customHeight="1" x14ac:dyDescent="0.25">
      <c r="A15" s="42" t="s">
        <v>16</v>
      </c>
      <c r="B15" s="282">
        <f t="shared" si="5"/>
        <v>9</v>
      </c>
      <c r="C15" s="14"/>
      <c r="D15" s="13"/>
      <c r="E15" s="13"/>
      <c r="F15" s="359" t="s">
        <v>17</v>
      </c>
      <c r="G15" s="360"/>
      <c r="H15" s="11">
        <v>181228.51</v>
      </c>
      <c r="I15" s="11">
        <v>161161.20000000001</v>
      </c>
      <c r="J15" s="336">
        <v>0</v>
      </c>
      <c r="K15" s="130">
        <v>114848.44</v>
      </c>
      <c r="L15" s="141"/>
      <c r="M15" s="299" t="s">
        <v>1769</v>
      </c>
      <c r="N15" s="300">
        <v>19200000</v>
      </c>
      <c r="O15" s="88">
        <f t="shared" si="0"/>
        <v>0</v>
      </c>
      <c r="P15" s="123" t="str">
        <f t="shared" si="1"/>
        <v/>
      </c>
      <c r="Q15" s="88">
        <f t="shared" si="2"/>
        <v>161161.20000000001</v>
      </c>
      <c r="R15" s="123">
        <f t="shared" si="3"/>
        <v>0</v>
      </c>
      <c r="S15" s="88">
        <f t="shared" si="8"/>
        <v>114848.44</v>
      </c>
      <c r="T15" s="124">
        <f t="shared" si="9"/>
        <v>0</v>
      </c>
      <c r="U15" s="88">
        <f t="shared" si="10"/>
        <v>46312.760000000009</v>
      </c>
      <c r="V15" s="124">
        <f t="shared" si="11"/>
        <v>0.71263083173865671</v>
      </c>
      <c r="W15" s="157">
        <f t="shared" si="4"/>
        <v>9</v>
      </c>
    </row>
    <row r="16" spans="1:23" ht="11.25" customHeight="1" x14ac:dyDescent="0.25">
      <c r="A16" s="26" t="s">
        <v>1666</v>
      </c>
      <c r="B16" s="282">
        <f t="shared" si="5"/>
        <v>7</v>
      </c>
      <c r="C16" s="24"/>
      <c r="D16" s="23"/>
      <c r="E16" s="23"/>
      <c r="F16" s="361" t="s">
        <v>18</v>
      </c>
      <c r="G16" s="362"/>
      <c r="H16" s="25">
        <f t="shared" ref="H16:L16" si="13">SUM(H17)</f>
        <v>181.23000000000201</v>
      </c>
      <c r="I16" s="25">
        <f t="shared" si="13"/>
        <v>4020.45</v>
      </c>
      <c r="J16" s="129">
        <f t="shared" si="13"/>
        <v>0</v>
      </c>
      <c r="K16" s="129">
        <f t="shared" si="13"/>
        <v>22417.75</v>
      </c>
      <c r="L16" s="140">
        <f t="shared" si="13"/>
        <v>0</v>
      </c>
      <c r="M16" s="297" t="s">
        <v>1792</v>
      </c>
      <c r="N16" s="298">
        <v>6060000</v>
      </c>
      <c r="O16" s="88">
        <f t="shared" si="0"/>
        <v>0</v>
      </c>
      <c r="P16" s="123" t="str">
        <f t="shared" si="1"/>
        <v/>
      </c>
      <c r="Q16" s="88">
        <f t="shared" si="2"/>
        <v>4020.45</v>
      </c>
      <c r="R16" s="123">
        <f t="shared" si="3"/>
        <v>0</v>
      </c>
      <c r="S16" s="88">
        <f t="shared" si="8"/>
        <v>22417.75</v>
      </c>
      <c r="T16" s="124">
        <f t="shared" si="9"/>
        <v>0</v>
      </c>
      <c r="U16" s="88">
        <f t="shared" si="10"/>
        <v>-18397.3</v>
      </c>
      <c r="V16" s="124">
        <f t="shared" si="11"/>
        <v>5.5759305550373721</v>
      </c>
      <c r="W16" s="157">
        <f t="shared" si="4"/>
        <v>7</v>
      </c>
    </row>
    <row r="17" spans="1:23" ht="11.25" customHeight="1" x14ac:dyDescent="0.25">
      <c r="A17" s="42" t="s">
        <v>925</v>
      </c>
      <c r="B17" s="282">
        <f t="shared" si="5"/>
        <v>11</v>
      </c>
      <c r="C17" s="27" t="s">
        <v>916</v>
      </c>
      <c r="D17" s="28" t="s">
        <v>917</v>
      </c>
      <c r="E17" s="28" t="s">
        <v>917</v>
      </c>
      <c r="F17" s="359" t="s">
        <v>19</v>
      </c>
      <c r="G17" s="360"/>
      <c r="H17" s="11">
        <v>181.23000000000201</v>
      </c>
      <c r="I17" s="11">
        <v>4020.45</v>
      </c>
      <c r="J17" s="336">
        <v>0</v>
      </c>
      <c r="K17" s="130">
        <v>22417.75</v>
      </c>
      <c r="L17" s="142"/>
      <c r="M17" s="305" t="s">
        <v>1793</v>
      </c>
      <c r="N17" s="306">
        <v>3000000</v>
      </c>
      <c r="O17" s="88">
        <f t="shared" si="0"/>
        <v>0</v>
      </c>
      <c r="P17" s="123" t="str">
        <f t="shared" si="1"/>
        <v/>
      </c>
      <c r="Q17" s="88">
        <f t="shared" si="2"/>
        <v>4020.45</v>
      </c>
      <c r="R17" s="123">
        <f t="shared" si="3"/>
        <v>0</v>
      </c>
      <c r="S17" s="88">
        <f t="shared" si="8"/>
        <v>22417.75</v>
      </c>
      <c r="T17" s="124">
        <f t="shared" si="9"/>
        <v>0</v>
      </c>
      <c r="U17" s="88">
        <f t="shared" si="10"/>
        <v>-18397.3</v>
      </c>
      <c r="V17" s="124">
        <f t="shared" si="11"/>
        <v>5.5759305550373721</v>
      </c>
      <c r="W17" s="157">
        <f t="shared" si="4"/>
        <v>11</v>
      </c>
    </row>
    <row r="18" spans="1:23" ht="11.25" customHeight="1" x14ac:dyDescent="0.25">
      <c r="A18" s="26" t="s">
        <v>926</v>
      </c>
      <c r="B18" s="282">
        <f t="shared" si="5"/>
        <v>7</v>
      </c>
      <c r="C18" s="24"/>
      <c r="D18" s="23"/>
      <c r="E18" s="23"/>
      <c r="F18" s="361" t="s">
        <v>20</v>
      </c>
      <c r="G18" s="362"/>
      <c r="H18" s="25">
        <f t="shared" ref="H18:L18" si="14">SUM(H19)</f>
        <v>-9918625.0600000005</v>
      </c>
      <c r="I18" s="25">
        <f t="shared" si="14"/>
        <v>-9212410.3100000005</v>
      </c>
      <c r="J18" s="129">
        <f t="shared" si="14"/>
        <v>-10000000</v>
      </c>
      <c r="K18" s="129">
        <f t="shared" si="14"/>
        <v>-9880146.8900000006</v>
      </c>
      <c r="L18" s="140">
        <f t="shared" si="14"/>
        <v>-10000000</v>
      </c>
      <c r="M18" s="305" t="s">
        <v>1794</v>
      </c>
      <c r="N18" s="306">
        <v>2000000</v>
      </c>
      <c r="O18" s="88">
        <f t="shared" si="0"/>
        <v>0</v>
      </c>
      <c r="P18" s="123">
        <f t="shared" si="1"/>
        <v>1</v>
      </c>
      <c r="Q18" s="88">
        <f t="shared" si="2"/>
        <v>787589.68999999948</v>
      </c>
      <c r="R18" s="123">
        <f t="shared" si="3"/>
        <v>1.0854922505074569</v>
      </c>
      <c r="S18" s="88">
        <f t="shared" si="8"/>
        <v>119853.1099999994</v>
      </c>
      <c r="T18" s="124">
        <f t="shared" si="9"/>
        <v>1.0121307012268519</v>
      </c>
      <c r="U18" s="88">
        <f t="shared" si="10"/>
        <v>667736.58000000007</v>
      </c>
      <c r="V18" s="124">
        <f t="shared" si="11"/>
        <v>1.0724822882970353</v>
      </c>
      <c r="W18" s="157">
        <f t="shared" si="4"/>
        <v>7</v>
      </c>
    </row>
    <row r="19" spans="1:23" ht="11.25" customHeight="1" x14ac:dyDescent="0.25">
      <c r="A19" s="42" t="s">
        <v>927</v>
      </c>
      <c r="B19" s="282">
        <f t="shared" si="5"/>
        <v>11</v>
      </c>
      <c r="C19" s="27" t="s">
        <v>916</v>
      </c>
      <c r="D19" s="28" t="s">
        <v>917</v>
      </c>
      <c r="E19" s="28" t="s">
        <v>917</v>
      </c>
      <c r="F19" s="359" t="s">
        <v>21</v>
      </c>
      <c r="G19" s="360"/>
      <c r="H19" s="11">
        <v>-9918625.0600000005</v>
      </c>
      <c r="I19" s="11">
        <v>-9212410.3100000005</v>
      </c>
      <c r="J19" s="336">
        <v>-10000000</v>
      </c>
      <c r="K19" s="130">
        <v>-9880146.8900000006</v>
      </c>
      <c r="L19" s="156">
        <v>-10000000</v>
      </c>
      <c r="M19" s="305" t="s">
        <v>1838</v>
      </c>
      <c r="N19" s="306">
        <v>200000</v>
      </c>
      <c r="O19" s="88">
        <f t="shared" si="0"/>
        <v>0</v>
      </c>
      <c r="P19" s="123">
        <f t="shared" si="1"/>
        <v>1</v>
      </c>
      <c r="Q19" s="88">
        <f t="shared" si="2"/>
        <v>787589.68999999948</v>
      </c>
      <c r="R19" s="123">
        <f t="shared" si="3"/>
        <v>1.0854922505074569</v>
      </c>
      <c r="S19" s="88">
        <f t="shared" si="8"/>
        <v>119853.1099999994</v>
      </c>
      <c r="T19" s="124">
        <f t="shared" si="9"/>
        <v>1.0121307012268519</v>
      </c>
      <c r="U19" s="88">
        <f t="shared" si="10"/>
        <v>667736.58000000007</v>
      </c>
      <c r="V19" s="124">
        <f t="shared" si="11"/>
        <v>1.0724822882970353</v>
      </c>
      <c r="W19" s="157">
        <f t="shared" si="4"/>
        <v>11</v>
      </c>
    </row>
    <row r="20" spans="1:23" ht="11.25" customHeight="1" x14ac:dyDescent="0.25">
      <c r="A20" s="26" t="s">
        <v>928</v>
      </c>
      <c r="B20" s="282">
        <f t="shared" si="5"/>
        <v>7</v>
      </c>
      <c r="C20" s="24"/>
      <c r="D20" s="23"/>
      <c r="E20" s="23"/>
      <c r="F20" s="361" t="s">
        <v>22</v>
      </c>
      <c r="G20" s="362"/>
      <c r="H20" s="25">
        <f t="shared" ref="H20:L20" si="15">SUM(H21:H24)</f>
        <v>-2802347.55</v>
      </c>
      <c r="I20" s="25">
        <f t="shared" si="15"/>
        <v>-2973695.66</v>
      </c>
      <c r="J20" s="129">
        <f t="shared" si="15"/>
        <v>-3040133.3333332683</v>
      </c>
      <c r="K20" s="129">
        <f t="shared" si="15"/>
        <v>-3181676.04</v>
      </c>
      <c r="L20" s="140">
        <f t="shared" si="15"/>
        <v>-3250000</v>
      </c>
      <c r="M20" s="299" t="s">
        <v>1834</v>
      </c>
      <c r="N20" s="300">
        <v>88700000</v>
      </c>
      <c r="O20" s="88">
        <f t="shared" si="0"/>
        <v>209866.6666667317</v>
      </c>
      <c r="P20" s="123">
        <f t="shared" si="1"/>
        <v>1.0690320599973915</v>
      </c>
      <c r="Q20" s="88">
        <f t="shared" si="2"/>
        <v>276304.33999999985</v>
      </c>
      <c r="R20" s="123">
        <f t="shared" si="3"/>
        <v>1.0929161459649841</v>
      </c>
      <c r="S20" s="88">
        <f t="shared" si="8"/>
        <v>68323.959999999963</v>
      </c>
      <c r="T20" s="124">
        <f t="shared" si="9"/>
        <v>1.0214742038916067</v>
      </c>
      <c r="U20" s="88">
        <f t="shared" si="10"/>
        <v>207980.37999999989</v>
      </c>
      <c r="V20" s="124">
        <f t="shared" si="11"/>
        <v>1.0699400354910562</v>
      </c>
      <c r="W20" s="157">
        <f t="shared" si="4"/>
        <v>7</v>
      </c>
    </row>
    <row r="21" spans="1:23" ht="11.25" customHeight="1" x14ac:dyDescent="0.25">
      <c r="A21" s="42" t="s">
        <v>929</v>
      </c>
      <c r="B21" s="282">
        <f t="shared" si="5"/>
        <v>11</v>
      </c>
      <c r="C21" s="20" t="s">
        <v>916</v>
      </c>
      <c r="D21" s="20" t="s">
        <v>919</v>
      </c>
      <c r="E21" s="20" t="s">
        <v>918</v>
      </c>
      <c r="F21" s="359" t="s">
        <v>23</v>
      </c>
      <c r="G21" s="360"/>
      <c r="H21" s="11">
        <v>-516162.48</v>
      </c>
      <c r="I21" s="11">
        <v>-477150.16</v>
      </c>
      <c r="J21" s="336">
        <v>-549999.99999995995</v>
      </c>
      <c r="K21" s="130">
        <v>-462853.87</v>
      </c>
      <c r="L21" s="142">
        <v>-550000</v>
      </c>
      <c r="M21" s="299" t="s">
        <v>1835</v>
      </c>
      <c r="N21" s="300">
        <v>15000000</v>
      </c>
      <c r="O21" s="88">
        <f t="shared" si="0"/>
        <v>4.0046870708465576E-8</v>
      </c>
      <c r="P21" s="123">
        <f t="shared" si="1"/>
        <v>1.0000000000000728</v>
      </c>
      <c r="Q21" s="88">
        <f t="shared" si="2"/>
        <v>72849.840000000026</v>
      </c>
      <c r="R21" s="123">
        <f t="shared" si="3"/>
        <v>1.1526769686087919</v>
      </c>
      <c r="S21" s="88">
        <f t="shared" si="8"/>
        <v>87146.13</v>
      </c>
      <c r="T21" s="124">
        <f t="shared" si="9"/>
        <v>1.1882800072515327</v>
      </c>
      <c r="U21" s="88">
        <f t="shared" si="10"/>
        <v>-14296.289999999979</v>
      </c>
      <c r="V21" s="124">
        <f t="shared" si="11"/>
        <v>0.97003817414626881</v>
      </c>
      <c r="W21" s="157">
        <f t="shared" si="4"/>
        <v>11</v>
      </c>
    </row>
    <row r="22" spans="1:23" ht="11.25" customHeight="1" x14ac:dyDescent="0.25">
      <c r="A22" s="42" t="s">
        <v>930</v>
      </c>
      <c r="B22" s="282">
        <f t="shared" si="5"/>
        <v>11</v>
      </c>
      <c r="C22" s="20" t="s">
        <v>916</v>
      </c>
      <c r="D22" s="20" t="s">
        <v>919</v>
      </c>
      <c r="E22" s="20" t="s">
        <v>918</v>
      </c>
      <c r="F22" s="359" t="s">
        <v>24</v>
      </c>
      <c r="G22" s="360"/>
      <c r="H22" s="11">
        <v>-2140869.25</v>
      </c>
      <c r="I22" s="11">
        <v>-2322093.02</v>
      </c>
      <c r="J22" s="336">
        <v>-2299999.9999999902</v>
      </c>
      <c r="K22" s="130">
        <v>-2550638.87</v>
      </c>
      <c r="L22" s="142">
        <v>-2500000</v>
      </c>
      <c r="O22" s="88">
        <f t="shared" si="0"/>
        <v>200000.00000000978</v>
      </c>
      <c r="P22" s="123">
        <f t="shared" si="1"/>
        <v>1.086956521739135</v>
      </c>
      <c r="Q22" s="88">
        <f t="shared" si="2"/>
        <v>177906.97999999998</v>
      </c>
      <c r="R22" s="123">
        <f t="shared" si="3"/>
        <v>1.0766149238931004</v>
      </c>
      <c r="S22" s="88">
        <f t="shared" si="8"/>
        <v>-50638.870000000112</v>
      </c>
      <c r="T22" s="124">
        <f t="shared" si="9"/>
        <v>0.9801465936257765</v>
      </c>
      <c r="U22" s="88">
        <f t="shared" si="10"/>
        <v>228545.85000000009</v>
      </c>
      <c r="V22" s="124">
        <f t="shared" si="11"/>
        <v>1.0984223491615337</v>
      </c>
      <c r="W22" s="157">
        <f t="shared" si="4"/>
        <v>11</v>
      </c>
    </row>
    <row r="23" spans="1:23" ht="11.25" customHeight="1" x14ac:dyDescent="0.25">
      <c r="A23" s="42" t="s">
        <v>931</v>
      </c>
      <c r="B23" s="282">
        <f t="shared" si="5"/>
        <v>11</v>
      </c>
      <c r="C23" s="20" t="s">
        <v>916</v>
      </c>
      <c r="D23" s="20" t="s">
        <v>919</v>
      </c>
      <c r="E23" s="20" t="s">
        <v>918</v>
      </c>
      <c r="F23" s="359" t="s">
        <v>25</v>
      </c>
      <c r="G23" s="360"/>
      <c r="H23" s="11">
        <v>-145315.82</v>
      </c>
      <c r="I23" s="11">
        <v>-172455.48</v>
      </c>
      <c r="J23" s="336">
        <v>-190133.33333331801</v>
      </c>
      <c r="K23" s="130">
        <v>-168183.3</v>
      </c>
      <c r="L23" s="142">
        <v>-200000</v>
      </c>
      <c r="M23" s="105" t="s">
        <v>1696</v>
      </c>
      <c r="N23" s="105"/>
      <c r="O23" s="88">
        <f t="shared" si="0"/>
        <v>9866.6666666819947</v>
      </c>
      <c r="P23" s="123">
        <f t="shared" si="1"/>
        <v>1.0518934081347271</v>
      </c>
      <c r="Q23" s="88">
        <f t="shared" si="2"/>
        <v>27544.51999999999</v>
      </c>
      <c r="R23" s="123">
        <f t="shared" si="3"/>
        <v>1.1597195983566309</v>
      </c>
      <c r="S23" s="88">
        <f t="shared" si="8"/>
        <v>31816.700000000012</v>
      </c>
      <c r="T23" s="124">
        <f t="shared" si="9"/>
        <v>1.1891787115605414</v>
      </c>
      <c r="U23" s="88">
        <f t="shared" si="10"/>
        <v>-4272.1800000000221</v>
      </c>
      <c r="V23" s="124">
        <f t="shared" si="11"/>
        <v>0.97522734563146374</v>
      </c>
      <c r="W23" s="157">
        <f t="shared" si="4"/>
        <v>11</v>
      </c>
    </row>
    <row r="24" spans="1:23" ht="11.25" customHeight="1" x14ac:dyDescent="0.25">
      <c r="A24" s="42" t="s">
        <v>932</v>
      </c>
      <c r="B24" s="282">
        <f t="shared" si="5"/>
        <v>11</v>
      </c>
      <c r="C24" s="20"/>
      <c r="D24" s="20"/>
      <c r="E24" s="20"/>
      <c r="F24" s="359" t="s">
        <v>26</v>
      </c>
      <c r="G24" s="360"/>
      <c r="H24" s="11">
        <v>0</v>
      </c>
      <c r="I24" s="11">
        <v>-1997</v>
      </c>
      <c r="J24" s="336">
        <v>0</v>
      </c>
      <c r="K24" s="130">
        <v>0</v>
      </c>
      <c r="L24" s="141"/>
      <c r="O24" s="88">
        <f t="shared" si="0"/>
        <v>0</v>
      </c>
      <c r="P24" s="123" t="str">
        <f t="shared" si="1"/>
        <v/>
      </c>
      <c r="Q24" s="88">
        <f t="shared" si="2"/>
        <v>-1997</v>
      </c>
      <c r="R24" s="123">
        <f t="shared" si="3"/>
        <v>0</v>
      </c>
      <c r="S24" s="88">
        <f t="shared" si="8"/>
        <v>0</v>
      </c>
      <c r="T24" s="124" t="str">
        <f t="shared" si="9"/>
        <v/>
      </c>
      <c r="U24" s="88">
        <f t="shared" si="10"/>
        <v>-1997</v>
      </c>
      <c r="V24" s="124">
        <f t="shared" si="11"/>
        <v>0</v>
      </c>
      <c r="W24" s="157">
        <f t="shared" si="4"/>
        <v>11</v>
      </c>
    </row>
    <row r="25" spans="1:23" ht="11.25" customHeight="1" x14ac:dyDescent="0.25">
      <c r="A25" s="26" t="s">
        <v>933</v>
      </c>
      <c r="B25" s="282">
        <f t="shared" si="5"/>
        <v>7</v>
      </c>
      <c r="C25" s="24"/>
      <c r="D25" s="23"/>
      <c r="E25" s="23"/>
      <c r="F25" s="361" t="s">
        <v>27</v>
      </c>
      <c r="G25" s="362"/>
      <c r="H25" s="25">
        <f t="shared" ref="H25:K25" si="16">SUM(H26:H43)</f>
        <v>-1235315057.9200001</v>
      </c>
      <c r="I25" s="25">
        <f t="shared" si="16"/>
        <v>-1473358323.6499999</v>
      </c>
      <c r="J25" s="129">
        <f t="shared" si="16"/>
        <v>-1534708170.0046365</v>
      </c>
      <c r="K25" s="342">
        <f t="shared" si="16"/>
        <v>-1644866930.7299998</v>
      </c>
      <c r="L25" s="140">
        <f>SUM(L26:L43)</f>
        <v>-1834014800</v>
      </c>
      <c r="M25" s="170">
        <f>+L25-L40-L41</f>
        <v>-380000000</v>
      </c>
      <c r="N25" s="187"/>
      <c r="O25" s="92">
        <f t="shared" si="0"/>
        <v>299306629.99536347</v>
      </c>
      <c r="P25" s="180">
        <f t="shared" si="1"/>
        <v>1.1950251102100142</v>
      </c>
      <c r="Q25" s="92">
        <f t="shared" si="2"/>
        <v>360656476.35000014</v>
      </c>
      <c r="R25" s="180">
        <f t="shared" si="3"/>
        <v>1.2447853115978833</v>
      </c>
      <c r="S25" s="92">
        <f t="shared" si="8"/>
        <v>189147869.27000022</v>
      </c>
      <c r="T25" s="181">
        <f t="shared" si="9"/>
        <v>1.1149928092882599</v>
      </c>
      <c r="U25" s="92">
        <f t="shared" si="10"/>
        <v>171508607.07999992</v>
      </c>
      <c r="V25" s="181">
        <f t="shared" si="11"/>
        <v>1.1164065823818852</v>
      </c>
      <c r="W25" s="157">
        <f t="shared" si="4"/>
        <v>7</v>
      </c>
    </row>
    <row r="26" spans="1:23" ht="11.25" customHeight="1" x14ac:dyDescent="0.25">
      <c r="A26" s="42" t="s">
        <v>934</v>
      </c>
      <c r="B26" s="282">
        <f t="shared" si="5"/>
        <v>11</v>
      </c>
      <c r="C26" s="27" t="s">
        <v>916</v>
      </c>
      <c r="D26" s="28" t="s">
        <v>917</v>
      </c>
      <c r="E26" s="28" t="s">
        <v>917</v>
      </c>
      <c r="F26" s="359" t="s">
        <v>28</v>
      </c>
      <c r="G26" s="360"/>
      <c r="H26" s="11">
        <v>-171054568.94999999</v>
      </c>
      <c r="I26" s="11">
        <v>-176496778.88999999</v>
      </c>
      <c r="J26" s="336">
        <v>-184417947.939466</v>
      </c>
      <c r="K26" s="130">
        <v>-180557351.38999999</v>
      </c>
      <c r="L26" s="143">
        <v>-208038699.99999997</v>
      </c>
      <c r="M26" s="171" t="s">
        <v>1795</v>
      </c>
      <c r="N26" s="158"/>
      <c r="O26" s="88">
        <f t="shared" si="0"/>
        <v>23620752.060533971</v>
      </c>
      <c r="P26" s="123">
        <f t="shared" si="1"/>
        <v>1.1280827182194182</v>
      </c>
      <c r="Q26" s="88">
        <f t="shared" si="2"/>
        <v>31541921.109999985</v>
      </c>
      <c r="R26" s="123">
        <f t="shared" si="3"/>
        <v>1.1787110297897176</v>
      </c>
      <c r="S26" s="88">
        <f t="shared" si="8"/>
        <v>27481348.609999985</v>
      </c>
      <c r="T26" s="124">
        <f t="shared" si="9"/>
        <v>1.1522028784673566</v>
      </c>
      <c r="U26" s="88">
        <f t="shared" si="10"/>
        <v>4060572.5</v>
      </c>
      <c r="V26" s="124">
        <f t="shared" si="11"/>
        <v>1.0230064963538554</v>
      </c>
      <c r="W26" s="157">
        <f t="shared" si="4"/>
        <v>11</v>
      </c>
    </row>
    <row r="27" spans="1:23" ht="11.25" customHeight="1" x14ac:dyDescent="0.25">
      <c r="A27" s="42" t="s">
        <v>935</v>
      </c>
      <c r="B27" s="282">
        <f t="shared" si="5"/>
        <v>11</v>
      </c>
      <c r="C27" s="27" t="s">
        <v>916</v>
      </c>
      <c r="D27" s="28" t="s">
        <v>917</v>
      </c>
      <c r="E27" s="28" t="s">
        <v>917</v>
      </c>
      <c r="F27" s="359" t="s">
        <v>29</v>
      </c>
      <c r="G27" s="360"/>
      <c r="H27" s="11">
        <v>-10145250.630000001</v>
      </c>
      <c r="I27" s="11">
        <v>-8987106.1500000004</v>
      </c>
      <c r="J27" s="336">
        <v>-8732929.0312178396</v>
      </c>
      <c r="K27" s="130">
        <v>-9177498.3000000101</v>
      </c>
      <c r="L27" s="143">
        <v>-8950000</v>
      </c>
      <c r="M27" s="350" t="s">
        <v>1800</v>
      </c>
      <c r="N27" s="158"/>
      <c r="O27" s="88">
        <f t="shared" si="0"/>
        <v>217070.96878216043</v>
      </c>
      <c r="P27" s="123">
        <f t="shared" si="1"/>
        <v>1.0248566051557491</v>
      </c>
      <c r="Q27" s="88">
        <f t="shared" si="2"/>
        <v>-37106.150000000373</v>
      </c>
      <c r="R27" s="123">
        <f t="shared" si="3"/>
        <v>0.99587117928945346</v>
      </c>
      <c r="S27" s="88">
        <f t="shared" si="8"/>
        <v>-227498.30000001006</v>
      </c>
      <c r="T27" s="124">
        <f t="shared" si="9"/>
        <v>0.9752112947817152</v>
      </c>
      <c r="U27" s="88">
        <f t="shared" si="10"/>
        <v>190392.15000000969</v>
      </c>
      <c r="V27" s="124">
        <f t="shared" si="11"/>
        <v>1.0211850340723982</v>
      </c>
      <c r="W27" s="157">
        <f t="shared" si="4"/>
        <v>11</v>
      </c>
    </row>
    <row r="28" spans="1:23" ht="11.25" customHeight="1" x14ac:dyDescent="0.25">
      <c r="A28" s="42" t="s">
        <v>936</v>
      </c>
      <c r="B28" s="282">
        <f t="shared" si="5"/>
        <v>11</v>
      </c>
      <c r="C28" s="27" t="s">
        <v>916</v>
      </c>
      <c r="D28" s="28" t="s">
        <v>917</v>
      </c>
      <c r="E28" s="28" t="s">
        <v>917</v>
      </c>
      <c r="F28" s="359" t="s">
        <v>30</v>
      </c>
      <c r="G28" s="360"/>
      <c r="H28" s="11">
        <v>-242273.07</v>
      </c>
      <c r="I28" s="11">
        <v>-386360.9</v>
      </c>
      <c r="J28" s="336">
        <v>-414999.999999994</v>
      </c>
      <c r="K28" s="130">
        <v>-280201.45</v>
      </c>
      <c r="L28" s="143">
        <v>-340000</v>
      </c>
      <c r="M28" s="351"/>
      <c r="N28" s="158"/>
      <c r="O28" s="88">
        <f t="shared" si="0"/>
        <v>-74999.999999994005</v>
      </c>
      <c r="P28" s="123">
        <f t="shared" si="1"/>
        <v>0.81927710843374679</v>
      </c>
      <c r="Q28" s="88">
        <f t="shared" si="2"/>
        <v>-46360.900000000023</v>
      </c>
      <c r="R28" s="123">
        <f t="shared" si="3"/>
        <v>0.88000623251472909</v>
      </c>
      <c r="S28" s="88">
        <f t="shared" si="8"/>
        <v>59798.549999999988</v>
      </c>
      <c r="T28" s="124">
        <f t="shared" si="9"/>
        <v>1.213412707179067</v>
      </c>
      <c r="U28" s="88">
        <f t="shared" si="10"/>
        <v>-106159.45000000001</v>
      </c>
      <c r="V28" s="124">
        <f t="shared" si="11"/>
        <v>0.72523241870489485</v>
      </c>
      <c r="W28" s="157">
        <f t="shared" si="4"/>
        <v>11</v>
      </c>
    </row>
    <row r="29" spans="1:23" ht="11.25" customHeight="1" x14ac:dyDescent="0.25">
      <c r="A29" s="42" t="s">
        <v>937</v>
      </c>
      <c r="B29" s="282">
        <f t="shared" si="5"/>
        <v>11</v>
      </c>
      <c r="C29" s="28" t="s">
        <v>916</v>
      </c>
      <c r="D29" s="28" t="s">
        <v>920</v>
      </c>
      <c r="E29" s="28" t="s">
        <v>921</v>
      </c>
      <c r="F29" s="359" t="s">
        <v>31</v>
      </c>
      <c r="G29" s="360"/>
      <c r="H29" s="11">
        <v>-24977677.399999999</v>
      </c>
      <c r="I29" s="11">
        <v>-26091573.530000001</v>
      </c>
      <c r="J29" s="336">
        <v>-26000000</v>
      </c>
      <c r="K29" s="130">
        <v>-25306221.149999999</v>
      </c>
      <c r="L29" s="142">
        <v>-26020000</v>
      </c>
      <c r="M29" s="351"/>
      <c r="N29" s="158"/>
      <c r="O29" s="88">
        <f t="shared" si="0"/>
        <v>20000</v>
      </c>
      <c r="P29" s="123">
        <f t="shared" si="1"/>
        <v>1.0007692307692309</v>
      </c>
      <c r="Q29" s="88">
        <f t="shared" si="2"/>
        <v>-71573.530000001192</v>
      </c>
      <c r="R29" s="123">
        <f t="shared" si="3"/>
        <v>0.99725683351685535</v>
      </c>
      <c r="S29" s="88">
        <f t="shared" si="8"/>
        <v>713778.85000000149</v>
      </c>
      <c r="T29" s="124">
        <f t="shared" si="9"/>
        <v>1.0282056671270339</v>
      </c>
      <c r="U29" s="88">
        <f t="shared" si="10"/>
        <v>-785352.38000000268</v>
      </c>
      <c r="V29" s="124">
        <f t="shared" si="11"/>
        <v>0.96990015266434559</v>
      </c>
      <c r="W29" s="157">
        <f t="shared" si="4"/>
        <v>11</v>
      </c>
    </row>
    <row r="30" spans="1:23" ht="11.25" customHeight="1" x14ac:dyDescent="0.25">
      <c r="A30" s="42" t="s">
        <v>938</v>
      </c>
      <c r="B30" s="282">
        <f t="shared" si="5"/>
        <v>11</v>
      </c>
      <c r="C30" s="27" t="s">
        <v>916</v>
      </c>
      <c r="D30" s="28" t="s">
        <v>917</v>
      </c>
      <c r="E30" s="28" t="s">
        <v>917</v>
      </c>
      <c r="F30" s="359" t="s">
        <v>32</v>
      </c>
      <c r="G30" s="360"/>
      <c r="H30" s="11">
        <v>-2777036.85</v>
      </c>
      <c r="I30" s="11">
        <v>-2720978.14</v>
      </c>
      <c r="J30" s="336">
        <v>-2521019.5091897398</v>
      </c>
      <c r="K30" s="130">
        <v>-3526257.88</v>
      </c>
      <c r="L30" s="143">
        <v>-3571000</v>
      </c>
      <c r="M30" s="351"/>
      <c r="N30" s="158"/>
      <c r="O30" s="88">
        <f t="shared" si="0"/>
        <v>1049980.4908102602</v>
      </c>
      <c r="P30" s="123">
        <f t="shared" si="1"/>
        <v>1.4164904265844915</v>
      </c>
      <c r="Q30" s="88">
        <f t="shared" si="2"/>
        <v>850021.85999999987</v>
      </c>
      <c r="R30" s="123">
        <f t="shared" si="3"/>
        <v>1.3123956960565659</v>
      </c>
      <c r="S30" s="88">
        <f t="shared" si="8"/>
        <v>44742.120000000112</v>
      </c>
      <c r="T30" s="124">
        <f t="shared" si="9"/>
        <v>1.0126882722485402</v>
      </c>
      <c r="U30" s="88">
        <f t="shared" si="10"/>
        <v>805279.73999999976</v>
      </c>
      <c r="V30" s="124">
        <f t="shared" si="11"/>
        <v>1.2959523004473676</v>
      </c>
      <c r="W30" s="157">
        <f t="shared" si="4"/>
        <v>11</v>
      </c>
    </row>
    <row r="31" spans="1:23" ht="11.25" customHeight="1" x14ac:dyDescent="0.25">
      <c r="A31" s="42" t="s">
        <v>939</v>
      </c>
      <c r="B31" s="282">
        <f t="shared" si="5"/>
        <v>11</v>
      </c>
      <c r="C31" s="27" t="s">
        <v>916</v>
      </c>
      <c r="D31" s="28" t="s">
        <v>917</v>
      </c>
      <c r="E31" s="28" t="s">
        <v>917</v>
      </c>
      <c r="F31" s="359" t="s">
        <v>33</v>
      </c>
      <c r="G31" s="360"/>
      <c r="H31" s="11">
        <v>-1653257.2</v>
      </c>
      <c r="I31" s="11">
        <v>-1499551.17</v>
      </c>
      <c r="J31" s="336">
        <v>-1768356.84378694</v>
      </c>
      <c r="K31" s="130">
        <v>-1547423.38</v>
      </c>
      <c r="L31" s="143">
        <v>-1805000</v>
      </c>
      <c r="M31" s="171"/>
      <c r="N31" s="158"/>
      <c r="O31" s="88">
        <f t="shared" si="0"/>
        <v>36643.156213060021</v>
      </c>
      <c r="P31" s="123">
        <f t="shared" si="1"/>
        <v>1.0207215847535549</v>
      </c>
      <c r="Q31" s="88">
        <f t="shared" si="2"/>
        <v>305448.83000000007</v>
      </c>
      <c r="R31" s="123">
        <f t="shared" si="3"/>
        <v>1.2036935025031523</v>
      </c>
      <c r="S31" s="88">
        <f t="shared" si="8"/>
        <v>257576.62000000011</v>
      </c>
      <c r="T31" s="124">
        <f t="shared" si="9"/>
        <v>1.1664551688497817</v>
      </c>
      <c r="U31" s="88">
        <f t="shared" si="10"/>
        <v>47872.209999999963</v>
      </c>
      <c r="V31" s="124">
        <f t="shared" si="11"/>
        <v>1.0319243590733886</v>
      </c>
      <c r="W31" s="157">
        <f t="shared" si="4"/>
        <v>11</v>
      </c>
    </row>
    <row r="32" spans="1:23" ht="11.25" customHeight="1" x14ac:dyDescent="0.25">
      <c r="A32" s="42" t="s">
        <v>940</v>
      </c>
      <c r="B32" s="282">
        <f t="shared" si="5"/>
        <v>11</v>
      </c>
      <c r="C32" s="27" t="s">
        <v>916</v>
      </c>
      <c r="D32" s="28" t="s">
        <v>917</v>
      </c>
      <c r="E32" s="28" t="s">
        <v>917</v>
      </c>
      <c r="F32" s="359" t="s">
        <v>34</v>
      </c>
      <c r="G32" s="360"/>
      <c r="H32" s="11">
        <v>-48159108.380000003</v>
      </c>
      <c r="I32" s="11">
        <v>-50781726.43</v>
      </c>
      <c r="J32" s="336">
        <v>-50447999.999999903</v>
      </c>
      <c r="K32" s="130">
        <v>-60650341.530000001</v>
      </c>
      <c r="L32" s="143">
        <v>-50793000</v>
      </c>
      <c r="M32" s="171"/>
      <c r="N32" s="158"/>
      <c r="O32" s="88">
        <f t="shared" si="0"/>
        <v>345000.00000009686</v>
      </c>
      <c r="P32" s="123">
        <f t="shared" si="1"/>
        <v>1.0068387250237889</v>
      </c>
      <c r="Q32" s="88">
        <f t="shared" si="2"/>
        <v>11273.570000000298</v>
      </c>
      <c r="R32" s="123">
        <f t="shared" si="3"/>
        <v>1.0002220005264204</v>
      </c>
      <c r="S32" s="88">
        <f t="shared" si="8"/>
        <v>-9857341.5300000012</v>
      </c>
      <c r="T32" s="124">
        <f t="shared" si="9"/>
        <v>0.83747261299222564</v>
      </c>
      <c r="U32" s="88">
        <f t="shared" si="10"/>
        <v>9868615.1000000015</v>
      </c>
      <c r="V32" s="124">
        <f t="shared" si="11"/>
        <v>1.1943339818035408</v>
      </c>
      <c r="W32" s="157">
        <f t="shared" si="4"/>
        <v>11</v>
      </c>
    </row>
    <row r="33" spans="1:23" ht="11.25" customHeight="1" x14ac:dyDescent="0.25">
      <c r="A33" s="42" t="s">
        <v>941</v>
      </c>
      <c r="B33" s="282">
        <f t="shared" si="5"/>
        <v>11</v>
      </c>
      <c r="C33" s="27" t="s">
        <v>916</v>
      </c>
      <c r="D33" s="28" t="s">
        <v>917</v>
      </c>
      <c r="E33" s="28" t="s">
        <v>917</v>
      </c>
      <c r="F33" s="359" t="s">
        <v>35</v>
      </c>
      <c r="G33" s="360"/>
      <c r="H33" s="11">
        <v>-13421029.01</v>
      </c>
      <c r="I33" s="11">
        <v>-12154549.35</v>
      </c>
      <c r="J33" s="336">
        <v>-12040930.727390099</v>
      </c>
      <c r="K33" s="130">
        <v>-11798807.029999999</v>
      </c>
      <c r="L33" s="143">
        <v>-12149000</v>
      </c>
      <c r="M33" s="171"/>
      <c r="N33" s="158"/>
      <c r="O33" s="88">
        <f t="shared" si="0"/>
        <v>108069.27260990068</v>
      </c>
      <c r="P33" s="123">
        <f t="shared" si="1"/>
        <v>1.0089751594005993</v>
      </c>
      <c r="Q33" s="88">
        <f t="shared" si="2"/>
        <v>-5549.3499999996275</v>
      </c>
      <c r="R33" s="123">
        <f t="shared" si="3"/>
        <v>0.99954343432732862</v>
      </c>
      <c r="S33" s="88">
        <f t="shared" si="8"/>
        <v>350192.97000000067</v>
      </c>
      <c r="T33" s="124">
        <f t="shared" si="9"/>
        <v>1.0296803709993383</v>
      </c>
      <c r="U33" s="88">
        <f t="shared" si="10"/>
        <v>-355742.3200000003</v>
      </c>
      <c r="V33" s="124">
        <f t="shared" si="11"/>
        <v>0.97073175567796754</v>
      </c>
      <c r="W33" s="157">
        <f t="shared" si="4"/>
        <v>11</v>
      </c>
    </row>
    <row r="34" spans="1:23" ht="11.25" customHeight="1" x14ac:dyDescent="0.25">
      <c r="A34" s="42" t="s">
        <v>942</v>
      </c>
      <c r="B34" s="282">
        <f t="shared" si="5"/>
        <v>11</v>
      </c>
      <c r="C34" s="27" t="s">
        <v>916</v>
      </c>
      <c r="D34" s="28" t="s">
        <v>917</v>
      </c>
      <c r="E34" s="28" t="s">
        <v>917</v>
      </c>
      <c r="F34" s="359" t="s">
        <v>36</v>
      </c>
      <c r="G34" s="360"/>
      <c r="H34" s="11">
        <v>-7703631.1500000004</v>
      </c>
      <c r="I34" s="11">
        <v>-7969823.8200000003</v>
      </c>
      <c r="J34" s="336">
        <v>-7959878.0024193702</v>
      </c>
      <c r="K34" s="130">
        <v>-8633733.9800000004</v>
      </c>
      <c r="L34" s="143">
        <v>-8640000</v>
      </c>
      <c r="M34" s="171"/>
      <c r="N34" s="158"/>
      <c r="O34" s="88">
        <f t="shared" si="0"/>
        <v>680121.99758062977</v>
      </c>
      <c r="P34" s="123">
        <f t="shared" si="1"/>
        <v>1.0854437715469898</v>
      </c>
      <c r="Q34" s="88">
        <f t="shared" si="2"/>
        <v>670176.1799999997</v>
      </c>
      <c r="R34" s="123">
        <f t="shared" si="3"/>
        <v>1.0840892088879324</v>
      </c>
      <c r="S34" s="88">
        <f t="shared" si="8"/>
        <v>6266.019999999553</v>
      </c>
      <c r="T34" s="124">
        <f t="shared" si="9"/>
        <v>1.0007257601420794</v>
      </c>
      <c r="U34" s="88">
        <f t="shared" si="10"/>
        <v>663910.16000000015</v>
      </c>
      <c r="V34" s="124">
        <f t="shared" si="11"/>
        <v>1.0833029907554468</v>
      </c>
      <c r="W34" s="157">
        <f t="shared" si="4"/>
        <v>11</v>
      </c>
    </row>
    <row r="35" spans="1:23" ht="11.25" customHeight="1" x14ac:dyDescent="0.25">
      <c r="A35" s="42" t="s">
        <v>943</v>
      </c>
      <c r="B35" s="282">
        <f t="shared" si="5"/>
        <v>11</v>
      </c>
      <c r="C35" s="27" t="s">
        <v>916</v>
      </c>
      <c r="D35" s="28" t="s">
        <v>917</v>
      </c>
      <c r="E35" s="28" t="s">
        <v>917</v>
      </c>
      <c r="F35" s="359" t="s">
        <v>37</v>
      </c>
      <c r="G35" s="360"/>
      <c r="H35" s="11">
        <v>-19326606.73</v>
      </c>
      <c r="I35" s="11">
        <v>-20719912.789999999</v>
      </c>
      <c r="J35" s="336">
        <v>-19609580.822696202</v>
      </c>
      <c r="K35" s="130">
        <v>-26198023.870000001</v>
      </c>
      <c r="L35" s="143">
        <v>-19475000</v>
      </c>
      <c r="M35" s="171"/>
      <c r="N35" s="158"/>
      <c r="O35" s="88">
        <f t="shared" si="0"/>
        <v>-134580.8226962015</v>
      </c>
      <c r="P35" s="123">
        <f t="shared" si="1"/>
        <v>0.99313698625620606</v>
      </c>
      <c r="Q35" s="88">
        <f t="shared" si="2"/>
        <v>-1244912.7899999991</v>
      </c>
      <c r="R35" s="123">
        <f t="shared" si="3"/>
        <v>0.93991708350235781</v>
      </c>
      <c r="S35" s="88">
        <f t="shared" si="8"/>
        <v>-6723023.870000001</v>
      </c>
      <c r="T35" s="124">
        <f t="shared" si="9"/>
        <v>0.74337667973122579</v>
      </c>
      <c r="U35" s="88">
        <f t="shared" si="10"/>
        <v>5478111.0800000019</v>
      </c>
      <c r="V35" s="124">
        <f t="shared" si="11"/>
        <v>1.2643887131920695</v>
      </c>
      <c r="W35" s="157">
        <f t="shared" si="4"/>
        <v>11</v>
      </c>
    </row>
    <row r="36" spans="1:23" ht="11.25" customHeight="1" x14ac:dyDescent="0.25">
      <c r="A36" s="42" t="s">
        <v>944</v>
      </c>
      <c r="B36" s="282">
        <f t="shared" si="5"/>
        <v>11</v>
      </c>
      <c r="C36" s="27" t="s">
        <v>916</v>
      </c>
      <c r="D36" s="28" t="s">
        <v>917</v>
      </c>
      <c r="E36" s="28" t="s">
        <v>917</v>
      </c>
      <c r="F36" s="359" t="s">
        <v>38</v>
      </c>
      <c r="G36" s="360"/>
      <c r="H36" s="11">
        <v>-4089444.39</v>
      </c>
      <c r="I36" s="11">
        <v>-3803421.87</v>
      </c>
      <c r="J36" s="336">
        <v>-3806999.99999998</v>
      </c>
      <c r="K36" s="130">
        <v>-3630400.85</v>
      </c>
      <c r="L36" s="143">
        <v>-3455000</v>
      </c>
      <c r="M36" s="171"/>
      <c r="N36" s="158"/>
      <c r="O36" s="88">
        <f t="shared" si="0"/>
        <v>-351999.99999997998</v>
      </c>
      <c r="P36" s="123">
        <f t="shared" si="1"/>
        <v>0.90753874441818183</v>
      </c>
      <c r="Q36" s="88">
        <f t="shared" si="2"/>
        <v>-348421.87000000011</v>
      </c>
      <c r="R36" s="123">
        <f t="shared" si="3"/>
        <v>0.90839252601763054</v>
      </c>
      <c r="S36" s="88">
        <f t="shared" si="8"/>
        <v>-175400.85000000009</v>
      </c>
      <c r="T36" s="124">
        <f t="shared" si="9"/>
        <v>0.95168554183210918</v>
      </c>
      <c r="U36" s="88">
        <f t="shared" si="10"/>
        <v>-173021.02000000002</v>
      </c>
      <c r="V36" s="124">
        <f t="shared" si="11"/>
        <v>0.95450911681275052</v>
      </c>
      <c r="W36" s="157">
        <f t="shared" si="4"/>
        <v>11</v>
      </c>
    </row>
    <row r="37" spans="1:23" ht="11.25" customHeight="1" x14ac:dyDescent="0.25">
      <c r="A37" s="42" t="s">
        <v>945</v>
      </c>
      <c r="B37" s="282">
        <f t="shared" si="5"/>
        <v>11</v>
      </c>
      <c r="C37" s="27" t="s">
        <v>916</v>
      </c>
      <c r="D37" s="28" t="s">
        <v>917</v>
      </c>
      <c r="E37" s="28" t="s">
        <v>917</v>
      </c>
      <c r="F37" s="359" t="s">
        <v>39</v>
      </c>
      <c r="G37" s="360"/>
      <c r="H37" s="11">
        <v>-20976071.800000001</v>
      </c>
      <c r="I37" s="11">
        <v>-23233481.719999999</v>
      </c>
      <c r="J37" s="336">
        <v>-23444641.194271199</v>
      </c>
      <c r="K37" s="130">
        <v>-19830857.920000002</v>
      </c>
      <c r="L37" s="143">
        <v>-19969000</v>
      </c>
      <c r="M37" s="171"/>
      <c r="N37" s="158"/>
      <c r="O37" s="88">
        <f t="shared" si="0"/>
        <v>-3475641.1942711994</v>
      </c>
      <c r="P37" s="123">
        <f t="shared" si="1"/>
        <v>0.85175114579614519</v>
      </c>
      <c r="Q37" s="88">
        <f t="shared" si="2"/>
        <v>-3264481.7199999988</v>
      </c>
      <c r="R37" s="123">
        <f t="shared" si="3"/>
        <v>0.85949235851336714</v>
      </c>
      <c r="S37" s="88">
        <f t="shared" si="8"/>
        <v>138142.07999999821</v>
      </c>
      <c r="T37" s="124">
        <f t="shared" si="9"/>
        <v>1.006966016324522</v>
      </c>
      <c r="U37" s="88">
        <f t="shared" si="10"/>
        <v>-3402623.799999997</v>
      </c>
      <c r="V37" s="124">
        <f t="shared" si="11"/>
        <v>0.85354653938626301</v>
      </c>
      <c r="W37" s="157">
        <f t="shared" si="4"/>
        <v>11</v>
      </c>
    </row>
    <row r="38" spans="1:23" ht="11.25" customHeight="1" x14ac:dyDescent="0.25">
      <c r="A38" s="42" t="s">
        <v>946</v>
      </c>
      <c r="B38" s="282">
        <f t="shared" si="5"/>
        <v>11</v>
      </c>
      <c r="C38" s="27" t="s">
        <v>916</v>
      </c>
      <c r="D38" s="28" t="s">
        <v>917</v>
      </c>
      <c r="E38" s="28" t="s">
        <v>917</v>
      </c>
      <c r="F38" s="359" t="s">
        <v>40</v>
      </c>
      <c r="G38" s="360"/>
      <c r="H38" s="11">
        <v>-13331370.42</v>
      </c>
      <c r="I38" s="11">
        <v>-12498609.220000001</v>
      </c>
      <c r="J38" s="336">
        <v>-12205468.978488499</v>
      </c>
      <c r="K38" s="130">
        <v>-10200821.49</v>
      </c>
      <c r="L38" s="143">
        <v>-10522000</v>
      </c>
      <c r="M38" s="171"/>
      <c r="N38" s="158"/>
      <c r="O38" s="88">
        <f t="shared" si="0"/>
        <v>-1683468.9784884993</v>
      </c>
      <c r="P38" s="123">
        <f t="shared" si="1"/>
        <v>0.86207256915276875</v>
      </c>
      <c r="Q38" s="88">
        <f t="shared" si="2"/>
        <v>-1976609.2200000007</v>
      </c>
      <c r="R38" s="123">
        <f t="shared" si="3"/>
        <v>0.84185366665940131</v>
      </c>
      <c r="S38" s="88">
        <f t="shared" si="8"/>
        <v>321178.50999999978</v>
      </c>
      <c r="T38" s="124">
        <f t="shared" si="9"/>
        <v>1.0314855534247762</v>
      </c>
      <c r="U38" s="88">
        <f t="shared" si="10"/>
        <v>-2297787.7300000004</v>
      </c>
      <c r="V38" s="124">
        <f t="shared" si="11"/>
        <v>0.81615652673394001</v>
      </c>
      <c r="W38" s="157">
        <f t="shared" si="4"/>
        <v>11</v>
      </c>
    </row>
    <row r="39" spans="1:23" ht="11.25" customHeight="1" x14ac:dyDescent="0.25">
      <c r="A39" s="42" t="s">
        <v>947</v>
      </c>
      <c r="B39" s="282">
        <f t="shared" si="5"/>
        <v>11</v>
      </c>
      <c r="C39" s="27" t="s">
        <v>916</v>
      </c>
      <c r="D39" s="28" t="s">
        <v>917</v>
      </c>
      <c r="E39" s="28" t="s">
        <v>917</v>
      </c>
      <c r="F39" s="359" t="s">
        <v>41</v>
      </c>
      <c r="G39" s="360"/>
      <c r="H39" s="11">
        <v>-202369.25</v>
      </c>
      <c r="I39" s="11">
        <v>-246187.4</v>
      </c>
      <c r="J39" s="336">
        <v>-359999.999999994</v>
      </c>
      <c r="K39" s="130">
        <v>-247065.54</v>
      </c>
      <c r="L39" s="143">
        <v>-300000</v>
      </c>
      <c r="M39" s="171"/>
      <c r="N39" s="158"/>
      <c r="O39" s="88">
        <f t="shared" si="0"/>
        <v>-59999.999999994005</v>
      </c>
      <c r="P39" s="123">
        <f t="shared" si="1"/>
        <v>0.83333333333334725</v>
      </c>
      <c r="Q39" s="88">
        <f t="shared" si="2"/>
        <v>53812.600000000006</v>
      </c>
      <c r="R39" s="123">
        <f t="shared" si="3"/>
        <v>1.2185838917832512</v>
      </c>
      <c r="S39" s="88">
        <f t="shared" si="8"/>
        <v>52934.459999999992</v>
      </c>
      <c r="T39" s="124">
        <f t="shared" si="9"/>
        <v>1.2142527039586337</v>
      </c>
      <c r="U39" s="88">
        <f t="shared" si="10"/>
        <v>878.14000000001397</v>
      </c>
      <c r="V39" s="124">
        <f t="shared" si="11"/>
        <v>1.003566957529102</v>
      </c>
      <c r="W39" s="157">
        <f t="shared" si="4"/>
        <v>11</v>
      </c>
    </row>
    <row r="40" spans="1:23" ht="11.25" customHeight="1" x14ac:dyDescent="0.25">
      <c r="A40" s="42" t="s">
        <v>948</v>
      </c>
      <c r="B40" s="282">
        <f t="shared" si="5"/>
        <v>11</v>
      </c>
      <c r="C40" s="27" t="s">
        <v>916</v>
      </c>
      <c r="D40" s="28" t="s">
        <v>917</v>
      </c>
      <c r="E40" s="28" t="s">
        <v>917</v>
      </c>
      <c r="F40" s="359" t="s">
        <v>42</v>
      </c>
      <c r="G40" s="360"/>
      <c r="H40" s="11">
        <v>-881038445.94000006</v>
      </c>
      <c r="I40" s="11">
        <v>-1045394322.41</v>
      </c>
      <c r="J40" s="336">
        <v>-1100000242.21492</v>
      </c>
      <c r="K40" s="130">
        <v>-1219423249.3399999</v>
      </c>
      <c r="L40" s="143">
        <v>-1340000000</v>
      </c>
      <c r="M40" s="171"/>
      <c r="N40" s="158"/>
      <c r="O40" s="92">
        <f t="shared" si="0"/>
        <v>239999757.78507996</v>
      </c>
      <c r="P40" s="180">
        <f t="shared" si="1"/>
        <v>1.2181815499438666</v>
      </c>
      <c r="Q40" s="92">
        <f t="shared" si="2"/>
        <v>294605677.59000003</v>
      </c>
      <c r="R40" s="180">
        <f t="shared" si="3"/>
        <v>1.2818129688238891</v>
      </c>
      <c r="S40" s="92">
        <f t="shared" si="8"/>
        <v>120576750.66000009</v>
      </c>
      <c r="T40" s="181">
        <f t="shared" si="9"/>
        <v>1.0988801474182659</v>
      </c>
      <c r="U40" s="92">
        <f t="shared" si="10"/>
        <v>174028926.92999995</v>
      </c>
      <c r="V40" s="181">
        <f t="shared" si="11"/>
        <v>1.1664720414099843</v>
      </c>
      <c r="W40" s="157">
        <f t="shared" si="4"/>
        <v>11</v>
      </c>
    </row>
    <row r="41" spans="1:23" ht="11.25" customHeight="1" x14ac:dyDescent="0.25">
      <c r="A41" s="42" t="s">
        <v>949</v>
      </c>
      <c r="B41" s="282">
        <f t="shared" si="5"/>
        <v>11</v>
      </c>
      <c r="C41" s="27" t="s">
        <v>916</v>
      </c>
      <c r="D41" s="28" t="s">
        <v>917</v>
      </c>
      <c r="E41" s="28" t="s">
        <v>917</v>
      </c>
      <c r="F41" s="359" t="s">
        <v>43</v>
      </c>
      <c r="G41" s="360"/>
      <c r="H41" s="11">
        <v>-94027027.730000004</v>
      </c>
      <c r="I41" s="11">
        <v>-75085327.530000001</v>
      </c>
      <c r="J41" s="336">
        <v>-75000163.379168198</v>
      </c>
      <c r="K41" s="130">
        <v>-58067101.770000003</v>
      </c>
      <c r="L41" s="143">
        <v>-114014800</v>
      </c>
      <c r="M41" s="171"/>
      <c r="N41" s="158"/>
      <c r="O41" s="92">
        <f t="shared" si="0"/>
        <v>39014636.620831802</v>
      </c>
      <c r="P41" s="180">
        <f t="shared" si="1"/>
        <v>1.5201940217595364</v>
      </c>
      <c r="Q41" s="92">
        <f t="shared" si="2"/>
        <v>38929472.469999999</v>
      </c>
      <c r="R41" s="180">
        <f t="shared" si="3"/>
        <v>1.5184697696689931</v>
      </c>
      <c r="S41" s="92">
        <f t="shared" si="8"/>
        <v>55947698.229999997</v>
      </c>
      <c r="T41" s="181">
        <f t="shared" si="9"/>
        <v>1.9635007865831702</v>
      </c>
      <c r="U41" s="92">
        <f t="shared" si="10"/>
        <v>-17018225.759999998</v>
      </c>
      <c r="V41" s="181">
        <f t="shared" si="11"/>
        <v>0.77334818506051739</v>
      </c>
      <c r="W41" s="157">
        <f t="shared" si="4"/>
        <v>11</v>
      </c>
    </row>
    <row r="42" spans="1:23" ht="11.25" customHeight="1" x14ac:dyDescent="0.25">
      <c r="A42" s="42" t="s">
        <v>950</v>
      </c>
      <c r="B42" s="282">
        <f t="shared" si="5"/>
        <v>11</v>
      </c>
      <c r="C42" s="28" t="s">
        <v>916</v>
      </c>
      <c r="D42" s="28" t="s">
        <v>919</v>
      </c>
      <c r="E42" s="28" t="s">
        <v>1649</v>
      </c>
      <c r="F42" s="359" t="s">
        <v>44</v>
      </c>
      <c r="G42" s="360"/>
      <c r="H42" s="11">
        <v>-5771419.3200000003</v>
      </c>
      <c r="I42" s="11">
        <v>-5288612.3299999898</v>
      </c>
      <c r="J42" s="336">
        <v>-5977011.3616224304</v>
      </c>
      <c r="K42" s="130">
        <v>-5791573.8599999798</v>
      </c>
      <c r="L42" s="142">
        <v>-5972300</v>
      </c>
      <c r="M42" s="171"/>
      <c r="N42" s="158"/>
      <c r="O42" s="88">
        <f t="shared" si="0"/>
        <v>-4711.3616224303842</v>
      </c>
      <c r="P42" s="123">
        <f t="shared" si="1"/>
        <v>0.99921175294183284</v>
      </c>
      <c r="Q42" s="88">
        <f t="shared" si="2"/>
        <v>683687.67000001017</v>
      </c>
      <c r="R42" s="123">
        <f t="shared" si="3"/>
        <v>1.129275436984055</v>
      </c>
      <c r="S42" s="88">
        <f t="shared" si="8"/>
        <v>180726.14000002015</v>
      </c>
      <c r="T42" s="124">
        <f t="shared" si="9"/>
        <v>1.0312050134158215</v>
      </c>
      <c r="U42" s="88">
        <f t="shared" si="10"/>
        <v>502961.52999999002</v>
      </c>
      <c r="V42" s="124">
        <f t="shared" si="11"/>
        <v>1.0951027412515961</v>
      </c>
      <c r="W42" s="157">
        <f t="shared" si="4"/>
        <v>11</v>
      </c>
    </row>
    <row r="43" spans="1:23" ht="11.25" customHeight="1" x14ac:dyDescent="0.25">
      <c r="A43" s="202" t="s">
        <v>951</v>
      </c>
      <c r="B43" s="282">
        <f t="shared" si="5"/>
        <v>11</v>
      </c>
      <c r="C43" s="203" t="s">
        <v>922</v>
      </c>
      <c r="D43" s="203" t="s">
        <v>923</v>
      </c>
      <c r="E43" s="203" t="s">
        <v>922</v>
      </c>
      <c r="F43" s="367" t="s">
        <v>45</v>
      </c>
      <c r="G43" s="368"/>
      <c r="H43" s="204">
        <v>83581530.299999997</v>
      </c>
      <c r="I43" s="204">
        <v>0</v>
      </c>
      <c r="J43" s="337">
        <v>0</v>
      </c>
      <c r="K43" s="205">
        <v>1.6916601452976465E-9</v>
      </c>
      <c r="L43" s="198">
        <v>0</v>
      </c>
      <c r="M43" s="206" t="s">
        <v>1796</v>
      </c>
      <c r="N43" s="187"/>
      <c r="O43" s="88">
        <f t="shared" si="0"/>
        <v>0</v>
      </c>
      <c r="P43" s="123" t="str">
        <f t="shared" si="1"/>
        <v/>
      </c>
      <c r="Q43" s="88">
        <f t="shared" si="2"/>
        <v>0</v>
      </c>
      <c r="R43" s="123" t="str">
        <f t="shared" si="3"/>
        <v/>
      </c>
      <c r="S43" s="88">
        <f t="shared" si="8"/>
        <v>1.6916601452976465E-9</v>
      </c>
      <c r="T43" s="124">
        <f t="shared" si="9"/>
        <v>0</v>
      </c>
      <c r="U43" s="88">
        <f t="shared" si="10"/>
        <v>-1.6916601452976465E-9</v>
      </c>
      <c r="V43" s="124" t="str">
        <f t="shared" si="11"/>
        <v/>
      </c>
      <c r="W43" s="157">
        <f t="shared" si="4"/>
        <v>11</v>
      </c>
    </row>
    <row r="44" spans="1:23" ht="11.25" customHeight="1" x14ac:dyDescent="0.25">
      <c r="A44" s="26" t="s">
        <v>952</v>
      </c>
      <c r="B44" s="282">
        <f t="shared" si="5"/>
        <v>7</v>
      </c>
      <c r="C44" s="24"/>
      <c r="D44" s="23"/>
      <c r="E44" s="23"/>
      <c r="F44" s="361" t="s">
        <v>46</v>
      </c>
      <c r="G44" s="362"/>
      <c r="H44" s="25">
        <f t="shared" ref="H44:L44" si="17">SUM(H45:H46)</f>
        <v>-67718747.079999998</v>
      </c>
      <c r="I44" s="25">
        <f t="shared" si="17"/>
        <v>-65481805</v>
      </c>
      <c r="J44" s="129">
        <f t="shared" si="17"/>
        <v>-68700399.999999613</v>
      </c>
      <c r="K44" s="342">
        <f t="shared" si="17"/>
        <v>-68417900.859999999</v>
      </c>
      <c r="L44" s="140">
        <f t="shared" si="17"/>
        <v>-72131000</v>
      </c>
      <c r="M44" s="170"/>
      <c r="N44" s="187"/>
      <c r="O44" s="88">
        <f t="shared" si="0"/>
        <v>3430600.0000003874</v>
      </c>
      <c r="P44" s="123">
        <f t="shared" si="1"/>
        <v>1.0499356626744591</v>
      </c>
      <c r="Q44" s="88">
        <f t="shared" si="2"/>
        <v>6649195</v>
      </c>
      <c r="R44" s="123">
        <f t="shared" si="3"/>
        <v>1.1015426346295738</v>
      </c>
      <c r="S44" s="88">
        <f t="shared" si="8"/>
        <v>3713099.1400000006</v>
      </c>
      <c r="T44" s="124">
        <f t="shared" si="9"/>
        <v>1.0542708719988052</v>
      </c>
      <c r="U44" s="88">
        <f t="shared" si="10"/>
        <v>2936095.8599999994</v>
      </c>
      <c r="V44" s="124">
        <f t="shared" si="11"/>
        <v>1.0448383464689162</v>
      </c>
      <c r="W44" s="157">
        <f t="shared" si="4"/>
        <v>7</v>
      </c>
    </row>
    <row r="45" spans="1:23" ht="11.25" customHeight="1" x14ac:dyDescent="0.25">
      <c r="A45" s="42" t="s">
        <v>953</v>
      </c>
      <c r="B45" s="282">
        <f t="shared" si="5"/>
        <v>11</v>
      </c>
      <c r="C45" s="20" t="s">
        <v>922</v>
      </c>
      <c r="D45" s="20" t="s">
        <v>919</v>
      </c>
      <c r="E45" s="20" t="s">
        <v>924</v>
      </c>
      <c r="F45" s="359" t="s">
        <v>47</v>
      </c>
      <c r="G45" s="360"/>
      <c r="H45" s="11">
        <v>-63239721.079999998</v>
      </c>
      <c r="I45" s="11">
        <v>-61658360</v>
      </c>
      <c r="J45" s="336">
        <v>-64699999.999999799</v>
      </c>
      <c r="K45" s="130">
        <v>-64254839.859999999</v>
      </c>
      <c r="L45" s="142">
        <v>-67665000</v>
      </c>
      <c r="M45" s="170"/>
      <c r="N45" s="187"/>
      <c r="O45" s="88">
        <f t="shared" si="0"/>
        <v>2965000.0000002012</v>
      </c>
      <c r="P45" s="123">
        <f t="shared" si="1"/>
        <v>1.0458268933539445</v>
      </c>
      <c r="Q45" s="88">
        <f t="shared" si="2"/>
        <v>6006640</v>
      </c>
      <c r="R45" s="123">
        <f t="shared" si="3"/>
        <v>1.0974180954537227</v>
      </c>
      <c r="S45" s="88">
        <f t="shared" si="8"/>
        <v>3410160.1400000006</v>
      </c>
      <c r="T45" s="124">
        <f t="shared" si="9"/>
        <v>1.0530724245431182</v>
      </c>
      <c r="U45" s="88">
        <f t="shared" si="10"/>
        <v>2596479.8599999994</v>
      </c>
      <c r="V45" s="124">
        <f t="shared" si="11"/>
        <v>1.042110751242816</v>
      </c>
      <c r="W45" s="157">
        <f t="shared" si="4"/>
        <v>11</v>
      </c>
    </row>
    <row r="46" spans="1:23" ht="11.25" customHeight="1" x14ac:dyDescent="0.25">
      <c r="A46" s="42" t="s">
        <v>954</v>
      </c>
      <c r="B46" s="282">
        <f t="shared" si="5"/>
        <v>11</v>
      </c>
      <c r="C46" s="20" t="s">
        <v>922</v>
      </c>
      <c r="D46" s="20" t="s">
        <v>919</v>
      </c>
      <c r="E46" s="20" t="s">
        <v>924</v>
      </c>
      <c r="F46" s="359" t="s">
        <v>48</v>
      </c>
      <c r="G46" s="360"/>
      <c r="H46" s="11">
        <v>-4479026</v>
      </c>
      <c r="I46" s="11">
        <v>-3823445</v>
      </c>
      <c r="J46" s="336">
        <v>-4000399.99999981</v>
      </c>
      <c r="K46" s="130">
        <v>-4163061</v>
      </c>
      <c r="L46" s="142">
        <v>-4466000</v>
      </c>
      <c r="M46" s="170"/>
      <c r="N46" s="187"/>
      <c r="O46" s="88">
        <f t="shared" si="0"/>
        <v>465600.00000018999</v>
      </c>
      <c r="P46" s="123">
        <f t="shared" si="1"/>
        <v>1.1163883611639367</v>
      </c>
      <c r="Q46" s="88">
        <f t="shared" si="2"/>
        <v>642555</v>
      </c>
      <c r="R46" s="123">
        <f t="shared" si="3"/>
        <v>1.1680565563255128</v>
      </c>
      <c r="S46" s="88">
        <f t="shared" si="8"/>
        <v>302939</v>
      </c>
      <c r="T46" s="124">
        <f t="shared" si="9"/>
        <v>1.0727683308027434</v>
      </c>
      <c r="U46" s="88">
        <f t="shared" si="10"/>
        <v>339616</v>
      </c>
      <c r="V46" s="124">
        <f t="shared" si="11"/>
        <v>1.0888246071278651</v>
      </c>
      <c r="W46" s="157">
        <f t="shared" si="4"/>
        <v>11</v>
      </c>
    </row>
    <row r="47" spans="1:23" ht="11.25" customHeight="1" x14ac:dyDescent="0.25">
      <c r="A47" s="26" t="s">
        <v>955</v>
      </c>
      <c r="B47" s="282">
        <f t="shared" si="5"/>
        <v>7</v>
      </c>
      <c r="C47" s="26"/>
      <c r="D47" s="23"/>
      <c r="E47" s="23"/>
      <c r="F47" s="361" t="s">
        <v>49</v>
      </c>
      <c r="G47" s="362"/>
      <c r="H47" s="25">
        <f t="shared" ref="H47:K47" si="18">SUM(H48:H96)</f>
        <v>-805100171.72000003</v>
      </c>
      <c r="I47" s="25">
        <f t="shared" si="18"/>
        <v>-926475101.1699996</v>
      </c>
      <c r="J47" s="129">
        <f t="shared" si="18"/>
        <v>-965611409.68686581</v>
      </c>
      <c r="K47" s="342">
        <f t="shared" si="18"/>
        <v>-985907217.58000016</v>
      </c>
      <c r="L47" s="140">
        <f>SUM(L48:L96)</f>
        <v>-1036380000</v>
      </c>
      <c r="M47" s="170"/>
      <c r="N47" s="187"/>
      <c r="O47" s="92">
        <f t="shared" si="0"/>
        <v>70768590.313134193</v>
      </c>
      <c r="P47" s="180">
        <f t="shared" si="1"/>
        <v>1.0732888919944343</v>
      </c>
      <c r="Q47" s="92">
        <f t="shared" si="2"/>
        <v>109904898.8300004</v>
      </c>
      <c r="R47" s="180">
        <f t="shared" si="3"/>
        <v>1.1186269320041164</v>
      </c>
      <c r="S47" s="92">
        <f t="shared" si="8"/>
        <v>50472782.419999838</v>
      </c>
      <c r="T47" s="181">
        <f t="shared" si="9"/>
        <v>1.0511942518727979</v>
      </c>
      <c r="U47" s="92">
        <f t="shared" si="10"/>
        <v>59432116.410000563</v>
      </c>
      <c r="V47" s="181">
        <f t="shared" si="11"/>
        <v>1.0641486385710168</v>
      </c>
      <c r="W47" s="157">
        <f t="shared" si="4"/>
        <v>7</v>
      </c>
    </row>
    <row r="48" spans="1:23" ht="11.25" customHeight="1" x14ac:dyDescent="0.25">
      <c r="A48" s="42" t="s">
        <v>956</v>
      </c>
      <c r="B48" s="282">
        <f t="shared" si="5"/>
        <v>11</v>
      </c>
      <c r="C48" s="27" t="s">
        <v>916</v>
      </c>
      <c r="D48" s="28" t="s">
        <v>917</v>
      </c>
      <c r="E48" s="28" t="s">
        <v>917</v>
      </c>
      <c r="F48" s="359" t="s">
        <v>50</v>
      </c>
      <c r="G48" s="360"/>
      <c r="H48" s="11">
        <v>-22720686.129999999</v>
      </c>
      <c r="I48" s="11">
        <v>-24668301.82</v>
      </c>
      <c r="J48" s="336">
        <v>-27550384.222749699</v>
      </c>
      <c r="K48" s="130">
        <v>-25807513.390000001</v>
      </c>
      <c r="L48" s="143">
        <v>-25126000</v>
      </c>
      <c r="M48" s="170"/>
      <c r="N48" s="187"/>
      <c r="O48" s="88">
        <f t="shared" si="0"/>
        <v>-2424384.2227496989</v>
      </c>
      <c r="P48" s="123">
        <f t="shared" si="1"/>
        <v>0.91200179993323771</v>
      </c>
      <c r="Q48" s="88">
        <f t="shared" si="2"/>
        <v>457698.1799999997</v>
      </c>
      <c r="R48" s="123">
        <f t="shared" si="3"/>
        <v>1.018554101670222</v>
      </c>
      <c r="S48" s="88">
        <f t="shared" si="8"/>
        <v>-681513.3900000006</v>
      </c>
      <c r="T48" s="124">
        <f t="shared" si="9"/>
        <v>0.97359244264640865</v>
      </c>
      <c r="U48" s="88">
        <f t="shared" si="10"/>
        <v>1139211.5700000003</v>
      </c>
      <c r="V48" s="124">
        <f t="shared" si="11"/>
        <v>1.0461811914866541</v>
      </c>
      <c r="W48" s="157">
        <f t="shared" si="4"/>
        <v>11</v>
      </c>
    </row>
    <row r="49" spans="1:23" ht="11.25" customHeight="1" x14ac:dyDescent="0.25">
      <c r="A49" s="42" t="s">
        <v>957</v>
      </c>
      <c r="B49" s="282">
        <f t="shared" si="5"/>
        <v>11</v>
      </c>
      <c r="C49" s="27" t="s">
        <v>916</v>
      </c>
      <c r="D49" s="28" t="s">
        <v>917</v>
      </c>
      <c r="E49" s="28" t="s">
        <v>917</v>
      </c>
      <c r="F49" s="359" t="s">
        <v>51</v>
      </c>
      <c r="G49" s="360"/>
      <c r="H49" s="11">
        <v>-137726650.38999999</v>
      </c>
      <c r="I49" s="11">
        <v>-135328508.03</v>
      </c>
      <c r="J49" s="336">
        <v>-136059666.66666701</v>
      </c>
      <c r="K49" s="130">
        <v>-145389744.75</v>
      </c>
      <c r="L49" s="143">
        <v>-137500000</v>
      </c>
      <c r="M49" s="350" t="s">
        <v>1797</v>
      </c>
      <c r="N49" s="187"/>
      <c r="O49" s="88">
        <f t="shared" si="0"/>
        <v>1440333.3333329856</v>
      </c>
      <c r="P49" s="123">
        <f t="shared" si="1"/>
        <v>1.0105860419080819</v>
      </c>
      <c r="Q49" s="88">
        <f t="shared" si="2"/>
        <v>2171491.9699999988</v>
      </c>
      <c r="R49" s="123">
        <f t="shared" si="3"/>
        <v>1.0160460792896544</v>
      </c>
      <c r="S49" s="88">
        <f t="shared" si="8"/>
        <v>-7889744.75</v>
      </c>
      <c r="T49" s="124">
        <f t="shared" si="9"/>
        <v>0.94573382900171854</v>
      </c>
      <c r="U49" s="88">
        <f t="shared" si="10"/>
        <v>10061236.719999999</v>
      </c>
      <c r="V49" s="124">
        <f t="shared" si="11"/>
        <v>1.0743467645248079</v>
      </c>
      <c r="W49" s="157">
        <f t="shared" si="4"/>
        <v>11</v>
      </c>
    </row>
    <row r="50" spans="1:23" ht="11.25" customHeight="1" x14ac:dyDescent="0.25">
      <c r="A50" s="42" t="s">
        <v>958</v>
      </c>
      <c r="B50" s="282">
        <f t="shared" si="5"/>
        <v>11</v>
      </c>
      <c r="C50" s="27" t="s">
        <v>916</v>
      </c>
      <c r="D50" s="28" t="s">
        <v>917</v>
      </c>
      <c r="E50" s="28" t="s">
        <v>917</v>
      </c>
      <c r="F50" s="359" t="s">
        <v>52</v>
      </c>
      <c r="G50" s="360"/>
      <c r="H50" s="11">
        <v>-30158515.859999999</v>
      </c>
      <c r="I50" s="11">
        <v>-30679738.32</v>
      </c>
      <c r="J50" s="336">
        <v>-30530166.666666601</v>
      </c>
      <c r="K50" s="130">
        <v>-25481199.640000001</v>
      </c>
      <c r="L50" s="143">
        <v>-25850000</v>
      </c>
      <c r="M50" s="351"/>
      <c r="N50" s="187"/>
      <c r="O50" s="88">
        <f t="shared" si="0"/>
        <v>-4680166.6666666009</v>
      </c>
      <c r="P50" s="123">
        <f t="shared" si="1"/>
        <v>0.84670353366342765</v>
      </c>
      <c r="Q50" s="88">
        <f t="shared" si="2"/>
        <v>-4829738.32</v>
      </c>
      <c r="R50" s="123">
        <f t="shared" si="3"/>
        <v>0.84257563511056699</v>
      </c>
      <c r="S50" s="88">
        <f t="shared" si="8"/>
        <v>368800.3599999994</v>
      </c>
      <c r="T50" s="124">
        <f t="shared" si="9"/>
        <v>1.0144734300272529</v>
      </c>
      <c r="U50" s="88">
        <f t="shared" si="10"/>
        <v>-5198538.68</v>
      </c>
      <c r="V50" s="124">
        <f t="shared" si="11"/>
        <v>0.83055466035018</v>
      </c>
      <c r="W50" s="157">
        <f t="shared" si="4"/>
        <v>11</v>
      </c>
    </row>
    <row r="51" spans="1:23" ht="11.25" customHeight="1" x14ac:dyDescent="0.25">
      <c r="A51" s="42" t="s">
        <v>959</v>
      </c>
      <c r="B51" s="282">
        <f t="shared" si="5"/>
        <v>11</v>
      </c>
      <c r="C51" s="27" t="s">
        <v>916</v>
      </c>
      <c r="D51" s="28" t="s">
        <v>917</v>
      </c>
      <c r="E51" s="28" t="s">
        <v>917</v>
      </c>
      <c r="F51" s="359" t="s">
        <v>53</v>
      </c>
      <c r="G51" s="360"/>
      <c r="H51" s="11">
        <v>-34088094.43</v>
      </c>
      <c r="I51" s="11">
        <v>-38416908.149999999</v>
      </c>
      <c r="J51" s="336">
        <v>-38800253.178557202</v>
      </c>
      <c r="K51" s="130">
        <v>-41616410.259999998</v>
      </c>
      <c r="L51" s="143">
        <v>-40631000</v>
      </c>
      <c r="M51" s="351"/>
      <c r="N51" s="187"/>
      <c r="O51" s="88">
        <f t="shared" si="0"/>
        <v>1830746.8214427978</v>
      </c>
      <c r="P51" s="123">
        <f t="shared" si="1"/>
        <v>1.0471838885436591</v>
      </c>
      <c r="Q51" s="88">
        <f t="shared" si="2"/>
        <v>2214091.8500000015</v>
      </c>
      <c r="R51" s="123">
        <f t="shared" si="3"/>
        <v>1.0576332650549338</v>
      </c>
      <c r="S51" s="88">
        <f t="shared" si="8"/>
        <v>-985410.25999999791</v>
      </c>
      <c r="T51" s="124">
        <f t="shared" si="9"/>
        <v>0.97632159396152596</v>
      </c>
      <c r="U51" s="88">
        <f t="shared" si="10"/>
        <v>3199502.1099999994</v>
      </c>
      <c r="V51" s="124">
        <f t="shared" si="11"/>
        <v>1.0832836962700758</v>
      </c>
      <c r="W51" s="157">
        <f t="shared" si="4"/>
        <v>11</v>
      </c>
    </row>
    <row r="52" spans="1:23" ht="11.25" customHeight="1" x14ac:dyDescent="0.25">
      <c r="A52" s="42" t="s">
        <v>960</v>
      </c>
      <c r="B52" s="282">
        <f t="shared" si="5"/>
        <v>11</v>
      </c>
      <c r="C52" s="27" t="s">
        <v>916</v>
      </c>
      <c r="D52" s="28" t="s">
        <v>917</v>
      </c>
      <c r="E52" s="28" t="s">
        <v>917</v>
      </c>
      <c r="F52" s="359" t="s">
        <v>54</v>
      </c>
      <c r="G52" s="360"/>
      <c r="H52" s="11">
        <v>-7804274.6299999999</v>
      </c>
      <c r="I52" s="11">
        <v>-7877140.8200000003</v>
      </c>
      <c r="J52" s="336">
        <v>-8000000</v>
      </c>
      <c r="K52" s="130">
        <v>-7444415.3399999999</v>
      </c>
      <c r="L52" s="143">
        <v>-8000000</v>
      </c>
      <c r="M52" s="351"/>
      <c r="N52" s="187"/>
      <c r="O52" s="88">
        <f t="shared" si="0"/>
        <v>0</v>
      </c>
      <c r="P52" s="123">
        <f t="shared" si="1"/>
        <v>1</v>
      </c>
      <c r="Q52" s="88">
        <f t="shared" si="2"/>
        <v>122859.1799999997</v>
      </c>
      <c r="R52" s="123">
        <f t="shared" si="3"/>
        <v>1.0155969256875619</v>
      </c>
      <c r="S52" s="88">
        <f t="shared" si="8"/>
        <v>555584.66000000015</v>
      </c>
      <c r="T52" s="124">
        <f t="shared" si="9"/>
        <v>1.0746310669979358</v>
      </c>
      <c r="U52" s="88">
        <f t="shared" si="10"/>
        <v>-432725.48000000045</v>
      </c>
      <c r="V52" s="124">
        <f t="shared" si="11"/>
        <v>0.9450656666056656</v>
      </c>
      <c r="W52" s="157">
        <f t="shared" si="4"/>
        <v>11</v>
      </c>
    </row>
    <row r="53" spans="1:23" ht="11.25" customHeight="1" x14ac:dyDescent="0.25">
      <c r="A53" s="42" t="s">
        <v>961</v>
      </c>
      <c r="B53" s="282">
        <f t="shared" si="5"/>
        <v>11</v>
      </c>
      <c r="C53" s="27" t="s">
        <v>916</v>
      </c>
      <c r="D53" s="28" t="s">
        <v>917</v>
      </c>
      <c r="E53" s="28" t="s">
        <v>917</v>
      </c>
      <c r="F53" s="359" t="s">
        <v>55</v>
      </c>
      <c r="G53" s="360"/>
      <c r="H53" s="11">
        <v>-22823921.960000001</v>
      </c>
      <c r="I53" s="11">
        <v>-23070099.41</v>
      </c>
      <c r="J53" s="336">
        <v>-28000000</v>
      </c>
      <c r="K53" s="130">
        <v>-24804766.93</v>
      </c>
      <c r="L53" s="143">
        <v>-25000000</v>
      </c>
      <c r="M53" s="170"/>
      <c r="N53" s="187"/>
      <c r="O53" s="88">
        <f t="shared" si="0"/>
        <v>-3000000</v>
      </c>
      <c r="P53" s="123">
        <f t="shared" si="1"/>
        <v>0.8928571428571429</v>
      </c>
      <c r="Q53" s="88">
        <f t="shared" si="2"/>
        <v>1929900.5899999999</v>
      </c>
      <c r="R53" s="123">
        <f t="shared" si="3"/>
        <v>1.0836537613341823</v>
      </c>
      <c r="S53" s="88">
        <f t="shared" si="8"/>
        <v>195233.0700000003</v>
      </c>
      <c r="T53" s="124">
        <f t="shared" si="9"/>
        <v>1.0078707883267339</v>
      </c>
      <c r="U53" s="88">
        <f t="shared" si="10"/>
        <v>1734667.5199999996</v>
      </c>
      <c r="V53" s="124">
        <f t="shared" si="11"/>
        <v>1.0751911593084895</v>
      </c>
      <c r="W53" s="157">
        <f t="shared" si="4"/>
        <v>11</v>
      </c>
    </row>
    <row r="54" spans="1:23" ht="11.25" customHeight="1" x14ac:dyDescent="0.25">
      <c r="A54" s="45" t="s">
        <v>962</v>
      </c>
      <c r="B54" s="282">
        <f t="shared" si="5"/>
        <v>11</v>
      </c>
      <c r="C54" s="27" t="s">
        <v>916</v>
      </c>
      <c r="D54" s="28" t="s">
        <v>917</v>
      </c>
      <c r="E54" s="28" t="s">
        <v>917</v>
      </c>
      <c r="F54" s="359" t="s">
        <v>56</v>
      </c>
      <c r="G54" s="360"/>
      <c r="H54" s="11">
        <v>-1201052.6200000001</v>
      </c>
      <c r="I54" s="11">
        <v>-658704.35</v>
      </c>
      <c r="J54" s="336">
        <v>-879999.99999999604</v>
      </c>
      <c r="K54" s="130">
        <v>-775934.09</v>
      </c>
      <c r="L54" s="143">
        <v>-800000</v>
      </c>
      <c r="M54" s="170"/>
      <c r="N54" s="187"/>
      <c r="O54" s="88">
        <f t="shared" si="0"/>
        <v>-79999.999999996042</v>
      </c>
      <c r="P54" s="123">
        <f t="shared" si="1"/>
        <v>0.90909090909091317</v>
      </c>
      <c r="Q54" s="88">
        <f t="shared" si="2"/>
        <v>141295.65000000002</v>
      </c>
      <c r="R54" s="123">
        <f t="shared" si="3"/>
        <v>1.2145054150621595</v>
      </c>
      <c r="S54" s="88">
        <f t="shared" si="8"/>
        <v>24065.910000000033</v>
      </c>
      <c r="T54" s="124">
        <f t="shared" si="9"/>
        <v>1.0310154049295606</v>
      </c>
      <c r="U54" s="88">
        <f t="shared" si="10"/>
        <v>117229.73999999999</v>
      </c>
      <c r="V54" s="124">
        <f t="shared" si="11"/>
        <v>1.1779701925454114</v>
      </c>
      <c r="W54" s="157">
        <f t="shared" si="4"/>
        <v>11</v>
      </c>
    </row>
    <row r="55" spans="1:23" ht="11.25" customHeight="1" x14ac:dyDescent="0.25">
      <c r="A55" s="42" t="s">
        <v>963</v>
      </c>
      <c r="B55" s="282">
        <f t="shared" si="5"/>
        <v>11</v>
      </c>
      <c r="C55" s="27" t="s">
        <v>916</v>
      </c>
      <c r="D55" s="28" t="s">
        <v>917</v>
      </c>
      <c r="E55" s="28" t="s">
        <v>917</v>
      </c>
      <c r="F55" s="359" t="s">
        <v>57</v>
      </c>
      <c r="G55" s="360"/>
      <c r="H55" s="11">
        <v>0</v>
      </c>
      <c r="I55" s="11">
        <v>-87892.57</v>
      </c>
      <c r="J55" s="336">
        <v>-99999.999999995998</v>
      </c>
      <c r="K55" s="130">
        <v>-99435.14</v>
      </c>
      <c r="L55" s="143">
        <v>-100000</v>
      </c>
      <c r="M55" s="170"/>
      <c r="N55" s="187"/>
      <c r="O55" s="88">
        <f t="shared" si="0"/>
        <v>4.0017766878008842E-9</v>
      </c>
      <c r="P55" s="123">
        <f t="shared" si="1"/>
        <v>1.00000000000004</v>
      </c>
      <c r="Q55" s="88">
        <f t="shared" si="2"/>
        <v>12107.429999999993</v>
      </c>
      <c r="R55" s="123">
        <f t="shared" si="3"/>
        <v>1.1377525995655833</v>
      </c>
      <c r="S55" s="88">
        <f t="shared" si="8"/>
        <v>564.86000000000058</v>
      </c>
      <c r="T55" s="124">
        <f t="shared" si="9"/>
        <v>1.0056806879338631</v>
      </c>
      <c r="U55" s="88">
        <f t="shared" si="10"/>
        <v>11542.569999999992</v>
      </c>
      <c r="V55" s="124">
        <f t="shared" si="11"/>
        <v>1.131325890231677</v>
      </c>
      <c r="W55" s="157">
        <f t="shared" si="4"/>
        <v>11</v>
      </c>
    </row>
    <row r="56" spans="1:23" ht="11.25" customHeight="1" x14ac:dyDescent="0.25">
      <c r="A56" s="42" t="s">
        <v>964</v>
      </c>
      <c r="B56" s="282">
        <f t="shared" si="5"/>
        <v>11</v>
      </c>
      <c r="C56" s="27" t="s">
        <v>916</v>
      </c>
      <c r="D56" s="28" t="s">
        <v>917</v>
      </c>
      <c r="E56" s="28" t="s">
        <v>917</v>
      </c>
      <c r="F56" s="359" t="s">
        <v>58</v>
      </c>
      <c r="G56" s="360"/>
      <c r="H56" s="11">
        <v>-25390277.989999998</v>
      </c>
      <c r="I56" s="11">
        <v>-25115159.989999998</v>
      </c>
      <c r="J56" s="336">
        <v>-26199666.666666601</v>
      </c>
      <c r="K56" s="130">
        <v>-35709360</v>
      </c>
      <c r="L56" s="143">
        <v>-38667000</v>
      </c>
      <c r="M56" s="170"/>
      <c r="N56" s="187"/>
      <c r="O56" s="88">
        <f t="shared" si="0"/>
        <v>12467333.333333399</v>
      </c>
      <c r="P56" s="123">
        <f t="shared" si="1"/>
        <v>1.4758584714818292</v>
      </c>
      <c r="Q56" s="88">
        <f t="shared" si="2"/>
        <v>13551840.010000002</v>
      </c>
      <c r="R56" s="123">
        <f t="shared" si="3"/>
        <v>1.5395880422579782</v>
      </c>
      <c r="S56" s="88">
        <f t="shared" si="8"/>
        <v>2957640</v>
      </c>
      <c r="T56" s="124">
        <f t="shared" si="9"/>
        <v>1.0828253432713439</v>
      </c>
      <c r="U56" s="88">
        <f t="shared" si="10"/>
        <v>10594200.010000002</v>
      </c>
      <c r="V56" s="124">
        <f t="shared" si="11"/>
        <v>1.4218249063202564</v>
      </c>
      <c r="W56" s="157">
        <f t="shared" si="4"/>
        <v>11</v>
      </c>
    </row>
    <row r="57" spans="1:23" ht="11.25" customHeight="1" x14ac:dyDescent="0.25">
      <c r="A57" s="42" t="s">
        <v>965</v>
      </c>
      <c r="B57" s="282">
        <f t="shared" si="5"/>
        <v>11</v>
      </c>
      <c r="C57" s="27" t="s">
        <v>916</v>
      </c>
      <c r="D57" s="28" t="s">
        <v>917</v>
      </c>
      <c r="E57" s="28" t="s">
        <v>917</v>
      </c>
      <c r="F57" s="359" t="s">
        <v>59</v>
      </c>
      <c r="G57" s="360"/>
      <c r="H57" s="11">
        <v>-24274873.57</v>
      </c>
      <c r="I57" s="11">
        <v>-26386706.449999999</v>
      </c>
      <c r="J57" s="336">
        <v>-25585243.911582999</v>
      </c>
      <c r="K57" s="130">
        <v>-28775783.600000001</v>
      </c>
      <c r="L57" s="143">
        <v>-24954000</v>
      </c>
      <c r="M57" s="170"/>
      <c r="N57" s="187"/>
      <c r="O57" s="88">
        <f t="shared" si="0"/>
        <v>-631243.91158299893</v>
      </c>
      <c r="P57" s="123">
        <f t="shared" si="1"/>
        <v>0.97532781341602837</v>
      </c>
      <c r="Q57" s="88">
        <f t="shared" si="2"/>
        <v>-1432706.4499999993</v>
      </c>
      <c r="R57" s="123">
        <f t="shared" si="3"/>
        <v>0.94570347562266532</v>
      </c>
      <c r="S57" s="88">
        <f t="shared" si="8"/>
        <v>-3821783.6000000015</v>
      </c>
      <c r="T57" s="124">
        <f t="shared" si="9"/>
        <v>0.86718750553851121</v>
      </c>
      <c r="U57" s="88">
        <f t="shared" si="10"/>
        <v>2389077.1500000022</v>
      </c>
      <c r="V57" s="124">
        <f t="shared" si="11"/>
        <v>1.0905409378971584</v>
      </c>
      <c r="W57" s="157">
        <f t="shared" si="4"/>
        <v>11</v>
      </c>
    </row>
    <row r="58" spans="1:23" ht="11.25" customHeight="1" x14ac:dyDescent="0.25">
      <c r="A58" s="42" t="s">
        <v>966</v>
      </c>
      <c r="B58" s="282">
        <f t="shared" si="5"/>
        <v>11</v>
      </c>
      <c r="C58" s="27" t="s">
        <v>916</v>
      </c>
      <c r="D58" s="28" t="s">
        <v>917</v>
      </c>
      <c r="E58" s="28" t="s">
        <v>917</v>
      </c>
      <c r="F58" s="359" t="s">
        <v>60</v>
      </c>
      <c r="G58" s="360"/>
      <c r="H58" s="11">
        <v>-4099751.21</v>
      </c>
      <c r="I58" s="11">
        <v>-2139000</v>
      </c>
      <c r="J58" s="336">
        <v>-5.8207661143813995E-11</v>
      </c>
      <c r="K58" s="130">
        <v>-1782500.01</v>
      </c>
      <c r="L58" s="143">
        <v>-2200000</v>
      </c>
      <c r="M58" s="170"/>
      <c r="N58" s="187"/>
      <c r="O58" s="88">
        <f t="shared" si="0"/>
        <v>2200000</v>
      </c>
      <c r="P58" s="123">
        <f t="shared" si="1"/>
        <v>3.7795712055230112E+16</v>
      </c>
      <c r="Q58" s="88">
        <f t="shared" si="2"/>
        <v>61000</v>
      </c>
      <c r="R58" s="123">
        <f t="shared" si="3"/>
        <v>1.0285179990649835</v>
      </c>
      <c r="S58" s="88">
        <f t="shared" si="8"/>
        <v>417499.99</v>
      </c>
      <c r="T58" s="124">
        <f t="shared" si="9"/>
        <v>1.2342215919538762</v>
      </c>
      <c r="U58" s="88">
        <f t="shared" si="10"/>
        <v>-356499.99</v>
      </c>
      <c r="V58" s="124">
        <f t="shared" si="11"/>
        <v>0.83333333800841514</v>
      </c>
      <c r="W58" s="157">
        <f t="shared" si="4"/>
        <v>11</v>
      </c>
    </row>
    <row r="59" spans="1:23" ht="11.25" customHeight="1" x14ac:dyDescent="0.25">
      <c r="A59" s="42" t="s">
        <v>967</v>
      </c>
      <c r="B59" s="282">
        <f t="shared" si="5"/>
        <v>11</v>
      </c>
      <c r="C59" s="27" t="s">
        <v>916</v>
      </c>
      <c r="D59" s="28" t="s">
        <v>917</v>
      </c>
      <c r="E59" s="28" t="s">
        <v>917</v>
      </c>
      <c r="F59" s="359" t="s">
        <v>61</v>
      </c>
      <c r="G59" s="360"/>
      <c r="H59" s="11">
        <v>-599800.01</v>
      </c>
      <c r="I59" s="11">
        <v>-4198600</v>
      </c>
      <c r="J59" s="336">
        <v>-15000000</v>
      </c>
      <c r="K59" s="130">
        <v>-7705230.0899999999</v>
      </c>
      <c r="L59" s="143">
        <v>-15000000</v>
      </c>
      <c r="M59" s="170"/>
      <c r="N59" s="187"/>
      <c r="O59" s="88">
        <f t="shared" si="0"/>
        <v>0</v>
      </c>
      <c r="P59" s="123">
        <f t="shared" si="1"/>
        <v>1</v>
      </c>
      <c r="Q59" s="88">
        <f t="shared" si="2"/>
        <v>10801400</v>
      </c>
      <c r="R59" s="123">
        <f t="shared" si="3"/>
        <v>3.5726194445767638</v>
      </c>
      <c r="S59" s="88">
        <f t="shared" si="8"/>
        <v>7294769.9100000001</v>
      </c>
      <c r="T59" s="124">
        <f t="shared" si="9"/>
        <v>1.9467296660572533</v>
      </c>
      <c r="U59" s="88">
        <f t="shared" si="10"/>
        <v>3506630.09</v>
      </c>
      <c r="V59" s="124">
        <f t="shared" si="11"/>
        <v>1.8351903229647977</v>
      </c>
      <c r="W59" s="157">
        <f t="shared" si="4"/>
        <v>11</v>
      </c>
    </row>
    <row r="60" spans="1:23" ht="11.25" customHeight="1" x14ac:dyDescent="0.25">
      <c r="A60" s="42" t="s">
        <v>968</v>
      </c>
      <c r="B60" s="282">
        <f t="shared" si="5"/>
        <v>11</v>
      </c>
      <c r="C60" s="27" t="s">
        <v>916</v>
      </c>
      <c r="D60" s="28" t="s">
        <v>917</v>
      </c>
      <c r="E60" s="28" t="s">
        <v>917</v>
      </c>
      <c r="F60" s="359" t="s">
        <v>62</v>
      </c>
      <c r="G60" s="360"/>
      <c r="H60" s="11">
        <v>0</v>
      </c>
      <c r="I60" s="11">
        <v>-720000</v>
      </c>
      <c r="J60" s="336">
        <v>0</v>
      </c>
      <c r="K60" s="130">
        <v>-2160000</v>
      </c>
      <c r="L60" s="143">
        <v>-2160000</v>
      </c>
      <c r="M60" s="170"/>
      <c r="N60" s="187"/>
      <c r="O60" s="88">
        <f t="shared" si="0"/>
        <v>2160000</v>
      </c>
      <c r="P60" s="123" t="str">
        <f t="shared" si="1"/>
        <v/>
      </c>
      <c r="Q60" s="88">
        <f t="shared" si="2"/>
        <v>1440000</v>
      </c>
      <c r="R60" s="123">
        <f t="shared" si="3"/>
        <v>3</v>
      </c>
      <c r="S60" s="88">
        <f t="shared" si="8"/>
        <v>0</v>
      </c>
      <c r="T60" s="124">
        <f t="shared" si="9"/>
        <v>1</v>
      </c>
      <c r="U60" s="88">
        <f t="shared" si="10"/>
        <v>1440000</v>
      </c>
      <c r="V60" s="124">
        <f t="shared" si="11"/>
        <v>3</v>
      </c>
      <c r="W60" s="157">
        <f t="shared" si="4"/>
        <v>11</v>
      </c>
    </row>
    <row r="61" spans="1:23" ht="11.25" customHeight="1" x14ac:dyDescent="0.25">
      <c r="A61" s="42" t="s">
        <v>969</v>
      </c>
      <c r="B61" s="282">
        <f t="shared" si="5"/>
        <v>11</v>
      </c>
      <c r="C61" s="27" t="s">
        <v>916</v>
      </c>
      <c r="D61" s="28" t="s">
        <v>917</v>
      </c>
      <c r="E61" s="28" t="s">
        <v>917</v>
      </c>
      <c r="F61" s="359" t="s">
        <v>63</v>
      </c>
      <c r="G61" s="360"/>
      <c r="H61" s="11">
        <v>-184116690.84</v>
      </c>
      <c r="I61" s="11">
        <v>-187234345.30000001</v>
      </c>
      <c r="J61" s="336">
        <v>-186118521.706218</v>
      </c>
      <c r="K61" s="130">
        <v>-191444285.90000001</v>
      </c>
      <c r="L61" s="143">
        <v>-194610000</v>
      </c>
      <c r="M61" s="170"/>
      <c r="N61" s="187"/>
      <c r="O61" s="88">
        <f t="shared" si="0"/>
        <v>8491478.2937819958</v>
      </c>
      <c r="P61" s="123">
        <f t="shared" si="1"/>
        <v>1.0456240368553191</v>
      </c>
      <c r="Q61" s="88">
        <f t="shared" si="2"/>
        <v>7375654.6999999881</v>
      </c>
      <c r="R61" s="123">
        <f t="shared" si="3"/>
        <v>1.0393926375429796</v>
      </c>
      <c r="S61" s="88">
        <f t="shared" si="8"/>
        <v>3165714.099999994</v>
      </c>
      <c r="T61" s="124">
        <f t="shared" si="9"/>
        <v>1.016535955017501</v>
      </c>
      <c r="U61" s="88">
        <f t="shared" si="10"/>
        <v>4209940.599999994</v>
      </c>
      <c r="V61" s="124">
        <f t="shared" si="11"/>
        <v>1.022484873665964</v>
      </c>
      <c r="W61" s="157">
        <f t="shared" si="4"/>
        <v>11</v>
      </c>
    </row>
    <row r="62" spans="1:23" ht="11.25" customHeight="1" x14ac:dyDescent="0.25">
      <c r="A62" s="42" t="s">
        <v>970</v>
      </c>
      <c r="B62" s="282">
        <f t="shared" si="5"/>
        <v>11</v>
      </c>
      <c r="C62" s="27" t="s">
        <v>916</v>
      </c>
      <c r="D62" s="28" t="s">
        <v>917</v>
      </c>
      <c r="E62" s="28" t="s">
        <v>917</v>
      </c>
      <c r="F62" s="359" t="s">
        <v>64</v>
      </c>
      <c r="G62" s="360"/>
      <c r="H62" s="11">
        <v>-1289114.24</v>
      </c>
      <c r="I62" s="11">
        <v>-1323719.8600000001</v>
      </c>
      <c r="J62" s="336">
        <v>-1185999.99999999</v>
      </c>
      <c r="K62" s="130">
        <v>-1111168.74</v>
      </c>
      <c r="L62" s="143">
        <v>-1120000</v>
      </c>
      <c r="M62" s="170"/>
      <c r="N62" s="187"/>
      <c r="O62" s="88">
        <f t="shared" si="0"/>
        <v>-65999.999999989988</v>
      </c>
      <c r="P62" s="123">
        <f t="shared" si="1"/>
        <v>0.94435075885329633</v>
      </c>
      <c r="Q62" s="88">
        <f t="shared" si="2"/>
        <v>-203719.8600000001</v>
      </c>
      <c r="R62" s="123">
        <f t="shared" si="3"/>
        <v>0.84610047325270166</v>
      </c>
      <c r="S62" s="88">
        <f t="shared" si="8"/>
        <v>8831.2600000000093</v>
      </c>
      <c r="T62" s="124">
        <f t="shared" si="9"/>
        <v>1.007947721783462</v>
      </c>
      <c r="U62" s="88">
        <f t="shared" si="10"/>
        <v>-212551.12000000011</v>
      </c>
      <c r="V62" s="124">
        <f t="shared" si="11"/>
        <v>0.83942892569429295</v>
      </c>
      <c r="W62" s="157">
        <f t="shared" si="4"/>
        <v>11</v>
      </c>
    </row>
    <row r="63" spans="1:23" ht="11.25" customHeight="1" x14ac:dyDescent="0.25">
      <c r="A63" s="42" t="s">
        <v>971</v>
      </c>
      <c r="B63" s="282">
        <f t="shared" si="5"/>
        <v>11</v>
      </c>
      <c r="C63" s="27" t="s">
        <v>916</v>
      </c>
      <c r="D63" s="28" t="s">
        <v>917</v>
      </c>
      <c r="E63" s="28" t="s">
        <v>917</v>
      </c>
      <c r="F63" s="359" t="s">
        <v>65</v>
      </c>
      <c r="G63" s="360"/>
      <c r="H63" s="11">
        <v>-6378093.46</v>
      </c>
      <c r="I63" s="11">
        <v>-6443508.0099999998</v>
      </c>
      <c r="J63" s="336">
        <v>-5600265.9334926</v>
      </c>
      <c r="K63" s="130">
        <v>-6528911.6200000001</v>
      </c>
      <c r="L63" s="143">
        <v>-5992000</v>
      </c>
      <c r="M63" s="170"/>
      <c r="N63" s="187"/>
      <c r="O63" s="88">
        <f t="shared" si="0"/>
        <v>391734.06650740001</v>
      </c>
      <c r="P63" s="123">
        <f t="shared" si="1"/>
        <v>1.0699491901205298</v>
      </c>
      <c r="Q63" s="88">
        <f t="shared" si="2"/>
        <v>-451508.00999999978</v>
      </c>
      <c r="R63" s="123">
        <f t="shared" si="3"/>
        <v>0.92992823019707871</v>
      </c>
      <c r="S63" s="88">
        <f t="shared" si="8"/>
        <v>-536911.62000000011</v>
      </c>
      <c r="T63" s="124">
        <f t="shared" si="9"/>
        <v>0.91776399325803704</v>
      </c>
      <c r="U63" s="88">
        <f t="shared" si="10"/>
        <v>85403.610000000335</v>
      </c>
      <c r="V63" s="124">
        <f t="shared" si="11"/>
        <v>1.0132542102636419</v>
      </c>
      <c r="W63" s="157">
        <f t="shared" si="4"/>
        <v>11</v>
      </c>
    </row>
    <row r="64" spans="1:23" ht="11.25" customHeight="1" x14ac:dyDescent="0.25">
      <c r="A64" s="42" t="s">
        <v>972</v>
      </c>
      <c r="B64" s="282">
        <f t="shared" si="5"/>
        <v>11</v>
      </c>
      <c r="C64" s="27" t="s">
        <v>916</v>
      </c>
      <c r="D64" s="28" t="s">
        <v>917</v>
      </c>
      <c r="E64" s="28" t="s">
        <v>917</v>
      </c>
      <c r="F64" s="359" t="s">
        <v>66</v>
      </c>
      <c r="G64" s="360"/>
      <c r="H64" s="11">
        <v>-20236388.07</v>
      </c>
      <c r="I64" s="11">
        <v>-21841269.960000001</v>
      </c>
      <c r="J64" s="336">
        <v>-21222608.510449398</v>
      </c>
      <c r="K64" s="130">
        <v>-22596215.420000002</v>
      </c>
      <c r="L64" s="143">
        <v>-22771999.999999996</v>
      </c>
      <c r="M64" s="170"/>
      <c r="N64" s="187"/>
      <c r="O64" s="88">
        <f t="shared" si="0"/>
        <v>1549391.489550598</v>
      </c>
      <c r="P64" s="123">
        <f t="shared" si="1"/>
        <v>1.0730066470758164</v>
      </c>
      <c r="Q64" s="88">
        <f t="shared" si="2"/>
        <v>930730.03999999538</v>
      </c>
      <c r="R64" s="123">
        <f t="shared" si="3"/>
        <v>1.0426133664253283</v>
      </c>
      <c r="S64" s="88">
        <f t="shared" si="8"/>
        <v>175784.57999999449</v>
      </c>
      <c r="T64" s="124">
        <f t="shared" si="9"/>
        <v>1.0077793814907787</v>
      </c>
      <c r="U64" s="88">
        <f t="shared" si="10"/>
        <v>754945.46000000089</v>
      </c>
      <c r="V64" s="124">
        <f t="shared" si="11"/>
        <v>1.0345650899138468</v>
      </c>
      <c r="W64" s="157">
        <f t="shared" si="4"/>
        <v>11</v>
      </c>
    </row>
    <row r="65" spans="1:23" ht="11.25" customHeight="1" x14ac:dyDescent="0.25">
      <c r="A65" s="42" t="s">
        <v>973</v>
      </c>
      <c r="B65" s="282">
        <f t="shared" si="5"/>
        <v>11</v>
      </c>
      <c r="C65" s="27" t="s">
        <v>916</v>
      </c>
      <c r="D65" s="28" t="s">
        <v>917</v>
      </c>
      <c r="E65" s="28" t="s">
        <v>917</v>
      </c>
      <c r="F65" s="359" t="s">
        <v>67</v>
      </c>
      <c r="G65" s="360"/>
      <c r="H65" s="11">
        <v>-116311055.29000001</v>
      </c>
      <c r="I65" s="11">
        <v>-121116938.81</v>
      </c>
      <c r="J65" s="336">
        <v>-143319914.439468</v>
      </c>
      <c r="K65" s="130">
        <v>-134089547.09999999</v>
      </c>
      <c r="L65" s="143">
        <v>-173045000</v>
      </c>
      <c r="M65" s="170"/>
      <c r="N65" s="187"/>
      <c r="O65" s="88">
        <f t="shared" si="0"/>
        <v>29725085.560532004</v>
      </c>
      <c r="P65" s="123">
        <f t="shared" si="1"/>
        <v>1.2074037350412079</v>
      </c>
      <c r="Q65" s="88">
        <f t="shared" si="2"/>
        <v>51928061.189999998</v>
      </c>
      <c r="R65" s="123">
        <f t="shared" si="3"/>
        <v>1.428743177463073</v>
      </c>
      <c r="S65" s="88">
        <f t="shared" si="8"/>
        <v>38955452.900000006</v>
      </c>
      <c r="T65" s="124">
        <f t="shared" si="9"/>
        <v>1.2905181928233986</v>
      </c>
      <c r="U65" s="88">
        <f t="shared" si="10"/>
        <v>12972608.289999992</v>
      </c>
      <c r="V65" s="124">
        <f t="shared" si="11"/>
        <v>1.1071081255640924</v>
      </c>
      <c r="W65" s="157">
        <f t="shared" si="4"/>
        <v>11</v>
      </c>
    </row>
    <row r="66" spans="1:23" ht="11.25" customHeight="1" x14ac:dyDescent="0.25">
      <c r="A66" s="42" t="s">
        <v>1636</v>
      </c>
      <c r="B66" s="282">
        <f t="shared" si="5"/>
        <v>11</v>
      </c>
      <c r="C66" s="27" t="s">
        <v>916</v>
      </c>
      <c r="D66" s="28" t="s">
        <v>917</v>
      </c>
      <c r="E66" s="28" t="s">
        <v>917</v>
      </c>
      <c r="F66" s="359" t="s">
        <v>68</v>
      </c>
      <c r="G66" s="360"/>
      <c r="H66" s="11">
        <v>-19632198.969999999</v>
      </c>
      <c r="I66" s="11">
        <v>-21188026.129999999</v>
      </c>
      <c r="J66" s="336">
        <v>-18500000</v>
      </c>
      <c r="K66" s="130">
        <v>-23794234.690000001</v>
      </c>
      <c r="L66" s="143">
        <v>-22621000</v>
      </c>
      <c r="M66" s="170"/>
      <c r="N66" s="187"/>
      <c r="O66" s="88">
        <f t="shared" si="0"/>
        <v>4121000</v>
      </c>
      <c r="P66" s="123">
        <f t="shared" si="1"/>
        <v>1.2227567567567568</v>
      </c>
      <c r="Q66" s="88">
        <f t="shared" si="2"/>
        <v>1432973.870000001</v>
      </c>
      <c r="R66" s="123">
        <f t="shared" si="3"/>
        <v>1.0676313055877849</v>
      </c>
      <c r="S66" s="88">
        <f t="shared" si="8"/>
        <v>-1173234.6900000013</v>
      </c>
      <c r="T66" s="124">
        <f t="shared" si="9"/>
        <v>0.95069248054054556</v>
      </c>
      <c r="U66" s="88">
        <f t="shared" si="10"/>
        <v>2606208.5600000024</v>
      </c>
      <c r="V66" s="124">
        <f t="shared" si="11"/>
        <v>1.1230038392443686</v>
      </c>
      <c r="W66" s="157">
        <f t="shared" si="4"/>
        <v>11</v>
      </c>
    </row>
    <row r="67" spans="1:23" ht="11.25" customHeight="1" x14ac:dyDescent="0.25">
      <c r="A67" s="42" t="s">
        <v>974</v>
      </c>
      <c r="B67" s="282">
        <f t="shared" si="5"/>
        <v>11</v>
      </c>
      <c r="C67" s="27" t="s">
        <v>916</v>
      </c>
      <c r="D67" s="28" t="s">
        <v>917</v>
      </c>
      <c r="E67" s="28" t="s">
        <v>917</v>
      </c>
      <c r="F67" s="359" t="s">
        <v>69</v>
      </c>
      <c r="G67" s="360"/>
      <c r="H67" s="11">
        <v>-7930083</v>
      </c>
      <c r="I67" s="11">
        <v>-8058511.5700000003</v>
      </c>
      <c r="J67" s="336">
        <v>-8049999.9999999898</v>
      </c>
      <c r="K67" s="130">
        <v>-8717722.7400000002</v>
      </c>
      <c r="L67" s="143">
        <v>-8767000</v>
      </c>
      <c r="M67" s="170"/>
      <c r="N67" s="187"/>
      <c r="O67" s="88">
        <f t="shared" si="0"/>
        <v>717000.00000001024</v>
      </c>
      <c r="P67" s="123">
        <f t="shared" si="1"/>
        <v>1.0890683229813678</v>
      </c>
      <c r="Q67" s="88">
        <f t="shared" si="2"/>
        <v>708488.4299999997</v>
      </c>
      <c r="R67" s="123">
        <f t="shared" si="3"/>
        <v>1.0879180260331871</v>
      </c>
      <c r="S67" s="88">
        <f t="shared" si="8"/>
        <v>49277.259999999776</v>
      </c>
      <c r="T67" s="124">
        <f t="shared" si="9"/>
        <v>1.0056525381076755</v>
      </c>
      <c r="U67" s="88">
        <f t="shared" si="10"/>
        <v>659211.16999999993</v>
      </c>
      <c r="V67" s="124">
        <f t="shared" si="11"/>
        <v>1.081803092825987</v>
      </c>
      <c r="W67" s="157">
        <f t="shared" si="4"/>
        <v>11</v>
      </c>
    </row>
    <row r="68" spans="1:23" ht="11.25" customHeight="1" x14ac:dyDescent="0.25">
      <c r="A68" s="42" t="s">
        <v>975</v>
      </c>
      <c r="B68" s="282">
        <f t="shared" si="5"/>
        <v>11</v>
      </c>
      <c r="C68" s="27" t="s">
        <v>916</v>
      </c>
      <c r="D68" s="28" t="s">
        <v>917</v>
      </c>
      <c r="E68" s="28" t="s">
        <v>917</v>
      </c>
      <c r="F68" s="359" t="s">
        <v>70</v>
      </c>
      <c r="G68" s="360"/>
      <c r="H68" s="11">
        <v>-38264386.590000004</v>
      </c>
      <c r="I68" s="11">
        <v>-37270808.399999999</v>
      </c>
      <c r="J68" s="336">
        <v>-40606785.850632802</v>
      </c>
      <c r="K68" s="130">
        <v>-39921119.159999996</v>
      </c>
      <c r="L68" s="143">
        <v>-48839000</v>
      </c>
      <c r="M68" s="170"/>
      <c r="N68" s="187"/>
      <c r="O68" s="88">
        <f t="shared" si="0"/>
        <v>8232214.1493671983</v>
      </c>
      <c r="P68" s="123">
        <f t="shared" si="1"/>
        <v>1.2027300111771568</v>
      </c>
      <c r="Q68" s="88">
        <f t="shared" si="2"/>
        <v>11568191.600000001</v>
      </c>
      <c r="R68" s="123">
        <f t="shared" si="3"/>
        <v>1.3103820951734442</v>
      </c>
      <c r="S68" s="88">
        <f t="shared" si="8"/>
        <v>8917880.8400000036</v>
      </c>
      <c r="T68" s="124">
        <f t="shared" si="9"/>
        <v>1.2233875459317158</v>
      </c>
      <c r="U68" s="88">
        <f t="shared" si="10"/>
        <v>2650310.7599999979</v>
      </c>
      <c r="V68" s="124">
        <f t="shared" si="11"/>
        <v>1.0711095592978874</v>
      </c>
      <c r="W68" s="157">
        <f t="shared" si="4"/>
        <v>11</v>
      </c>
    </row>
    <row r="69" spans="1:23" ht="11.25" customHeight="1" x14ac:dyDescent="0.25">
      <c r="A69" s="42" t="s">
        <v>976</v>
      </c>
      <c r="B69" s="282">
        <f t="shared" si="5"/>
        <v>11</v>
      </c>
      <c r="C69" s="27" t="s">
        <v>916</v>
      </c>
      <c r="D69" s="28" t="s">
        <v>917</v>
      </c>
      <c r="E69" s="28" t="s">
        <v>917</v>
      </c>
      <c r="F69" s="359" t="s">
        <v>71</v>
      </c>
      <c r="G69" s="360"/>
      <c r="H69" s="11">
        <v>-10990584.49</v>
      </c>
      <c r="I69" s="11">
        <v>-11424754.060000001</v>
      </c>
      <c r="J69" s="336">
        <v>-11220826.1340548</v>
      </c>
      <c r="K69" s="130">
        <v>-10887405.439999999</v>
      </c>
      <c r="L69" s="143">
        <v>-11048000</v>
      </c>
      <c r="M69" s="170"/>
      <c r="N69" s="187"/>
      <c r="O69" s="88">
        <f t="shared" si="0"/>
        <v>-172826.1340548005</v>
      </c>
      <c r="P69" s="123">
        <f t="shared" si="1"/>
        <v>0.9845977353191242</v>
      </c>
      <c r="Q69" s="88">
        <f t="shared" si="2"/>
        <v>-376754.06000000052</v>
      </c>
      <c r="R69" s="123">
        <f t="shared" si="3"/>
        <v>0.96702300478230163</v>
      </c>
      <c r="S69" s="88">
        <f t="shared" si="8"/>
        <v>160594.56000000052</v>
      </c>
      <c r="T69" s="124">
        <f t="shared" si="9"/>
        <v>1.014750489534447</v>
      </c>
      <c r="U69" s="88">
        <f t="shared" si="10"/>
        <v>-537348.62000000104</v>
      </c>
      <c r="V69" s="124">
        <f t="shared" si="11"/>
        <v>0.95296628556046126</v>
      </c>
      <c r="W69" s="157">
        <f t="shared" si="4"/>
        <v>11</v>
      </c>
    </row>
    <row r="70" spans="1:23" ht="11.25" customHeight="1" x14ac:dyDescent="0.25">
      <c r="A70" s="42" t="s">
        <v>977</v>
      </c>
      <c r="B70" s="282">
        <f t="shared" si="5"/>
        <v>11</v>
      </c>
      <c r="C70" s="27" t="s">
        <v>916</v>
      </c>
      <c r="D70" s="28" t="s">
        <v>917</v>
      </c>
      <c r="E70" s="28" t="s">
        <v>917</v>
      </c>
      <c r="F70" s="359" t="s">
        <v>72</v>
      </c>
      <c r="G70" s="360"/>
      <c r="H70" s="11">
        <v>-5528820.2999999998</v>
      </c>
      <c r="I70" s="11">
        <v>-5774018.1600000001</v>
      </c>
      <c r="J70" s="336">
        <v>-5917193.4667901704</v>
      </c>
      <c r="K70" s="130">
        <v>-5713284.6500000004</v>
      </c>
      <c r="L70" s="143">
        <v>-5806999.9999999972</v>
      </c>
      <c r="M70" s="170"/>
      <c r="N70" s="187"/>
      <c r="O70" s="88">
        <f t="shared" si="0"/>
        <v>-110193.4667901732</v>
      </c>
      <c r="P70" s="123">
        <f t="shared" si="1"/>
        <v>0.98137741018463798</v>
      </c>
      <c r="Q70" s="88">
        <f t="shared" si="2"/>
        <v>32981.839999997057</v>
      </c>
      <c r="R70" s="123">
        <f t="shared" si="3"/>
        <v>1.005712112273647</v>
      </c>
      <c r="S70" s="88">
        <f t="shared" si="8"/>
        <v>93715.349999996834</v>
      </c>
      <c r="T70" s="124">
        <f t="shared" si="9"/>
        <v>1.0164030598405414</v>
      </c>
      <c r="U70" s="88">
        <f t="shared" si="10"/>
        <v>-60733.509999999776</v>
      </c>
      <c r="V70" s="124">
        <f t="shared" si="11"/>
        <v>0.98948158659757324</v>
      </c>
      <c r="W70" s="157">
        <f t="shared" si="4"/>
        <v>11</v>
      </c>
    </row>
    <row r="71" spans="1:23" ht="11.25" customHeight="1" x14ac:dyDescent="0.25">
      <c r="A71" s="42" t="s">
        <v>978</v>
      </c>
      <c r="B71" s="282">
        <f t="shared" si="5"/>
        <v>11</v>
      </c>
      <c r="C71" s="27" t="s">
        <v>916</v>
      </c>
      <c r="D71" s="28" t="s">
        <v>917</v>
      </c>
      <c r="E71" s="28" t="s">
        <v>917</v>
      </c>
      <c r="F71" s="359" t="s">
        <v>73</v>
      </c>
      <c r="G71" s="360"/>
      <c r="H71" s="11">
        <v>-448217.1</v>
      </c>
      <c r="I71" s="11">
        <v>-409114.8</v>
      </c>
      <c r="J71" s="336">
        <v>-409999.99999999598</v>
      </c>
      <c r="K71" s="130">
        <v>-348505.2</v>
      </c>
      <c r="L71" s="143">
        <v>-410000</v>
      </c>
      <c r="M71" s="170"/>
      <c r="N71" s="187"/>
      <c r="O71" s="88">
        <f t="shared" si="0"/>
        <v>4.0163286030292511E-9</v>
      </c>
      <c r="P71" s="123">
        <f t="shared" si="1"/>
        <v>1.0000000000000098</v>
      </c>
      <c r="Q71" s="88">
        <f t="shared" si="2"/>
        <v>885.20000000001164</v>
      </c>
      <c r="R71" s="123">
        <f t="shared" si="3"/>
        <v>1.0021636958623839</v>
      </c>
      <c r="S71" s="88">
        <f t="shared" si="8"/>
        <v>61494.799999999988</v>
      </c>
      <c r="T71" s="124">
        <f t="shared" si="9"/>
        <v>1.1764530342732331</v>
      </c>
      <c r="U71" s="88">
        <f t="shared" si="10"/>
        <v>-60609.599999999977</v>
      </c>
      <c r="V71" s="124">
        <f t="shared" si="11"/>
        <v>0.85185185185185186</v>
      </c>
      <c r="W71" s="157">
        <f t="shared" si="4"/>
        <v>11</v>
      </c>
    </row>
    <row r="72" spans="1:23" ht="11.25" customHeight="1" x14ac:dyDescent="0.25">
      <c r="A72" s="42" t="s">
        <v>979</v>
      </c>
      <c r="B72" s="282">
        <f t="shared" si="5"/>
        <v>11</v>
      </c>
      <c r="C72" s="27" t="s">
        <v>916</v>
      </c>
      <c r="D72" s="28" t="s">
        <v>917</v>
      </c>
      <c r="E72" s="28" t="s">
        <v>917</v>
      </c>
      <c r="F72" s="359" t="s">
        <v>74</v>
      </c>
      <c r="G72" s="360"/>
      <c r="H72" s="11">
        <v>-7970717.2099999897</v>
      </c>
      <c r="I72" s="11">
        <v>-7860641.3099999996</v>
      </c>
      <c r="J72" s="336">
        <v>-7805215.0986726005</v>
      </c>
      <c r="K72" s="130">
        <v>-7990289.7199999997</v>
      </c>
      <c r="L72" s="143">
        <v>-8047999.9999999963</v>
      </c>
      <c r="M72" s="170"/>
      <c r="N72" s="187"/>
      <c r="O72" s="88">
        <f t="shared" si="0"/>
        <v>242784.90132739581</v>
      </c>
      <c r="P72" s="123">
        <f t="shared" si="1"/>
        <v>1.0311054722077659</v>
      </c>
      <c r="Q72" s="88">
        <f t="shared" si="2"/>
        <v>187358.68999999668</v>
      </c>
      <c r="R72" s="123">
        <f t="shared" si="3"/>
        <v>1.0238350387215411</v>
      </c>
      <c r="S72" s="88">
        <f t="shared" si="8"/>
        <v>57710.279999996535</v>
      </c>
      <c r="T72" s="124">
        <f t="shared" si="9"/>
        <v>1.0072225516248234</v>
      </c>
      <c r="U72" s="88">
        <f t="shared" si="10"/>
        <v>129648.41000000015</v>
      </c>
      <c r="V72" s="124">
        <f t="shared" si="11"/>
        <v>1.0164933629314783</v>
      </c>
      <c r="W72" s="157">
        <f t="shared" si="4"/>
        <v>11</v>
      </c>
    </row>
    <row r="73" spans="1:23" ht="11.25" customHeight="1" x14ac:dyDescent="0.25">
      <c r="A73" s="42" t="s">
        <v>980</v>
      </c>
      <c r="B73" s="282">
        <f t="shared" si="5"/>
        <v>11</v>
      </c>
      <c r="C73" s="27" t="s">
        <v>916</v>
      </c>
      <c r="D73" s="28" t="s">
        <v>917</v>
      </c>
      <c r="E73" s="28" t="s">
        <v>917</v>
      </c>
      <c r="F73" s="359" t="s">
        <v>75</v>
      </c>
      <c r="G73" s="360"/>
      <c r="H73" s="11">
        <v>-329835.90999999997</v>
      </c>
      <c r="I73" s="11">
        <v>-213373.73</v>
      </c>
      <c r="J73" s="336">
        <v>-170000</v>
      </c>
      <c r="K73" s="130">
        <v>-345132.95</v>
      </c>
      <c r="L73" s="143">
        <v>-402000</v>
      </c>
      <c r="M73" s="170"/>
      <c r="N73" s="187"/>
      <c r="O73" s="88">
        <f t="shared" si="0"/>
        <v>232000</v>
      </c>
      <c r="P73" s="123">
        <f t="shared" si="1"/>
        <v>2.3647058823529412</v>
      </c>
      <c r="Q73" s="88">
        <f t="shared" si="2"/>
        <v>188626.27</v>
      </c>
      <c r="R73" s="123">
        <f t="shared" si="3"/>
        <v>1.8840182434829253</v>
      </c>
      <c r="S73" s="88">
        <f t="shared" si="8"/>
        <v>56867.049999999988</v>
      </c>
      <c r="T73" s="124">
        <f t="shared" si="9"/>
        <v>1.1647685334014037</v>
      </c>
      <c r="U73" s="88">
        <f t="shared" si="10"/>
        <v>131759.22</v>
      </c>
      <c r="V73" s="124">
        <f t="shared" si="11"/>
        <v>1.6175044135001999</v>
      </c>
      <c r="W73" s="157">
        <f t="shared" si="4"/>
        <v>11</v>
      </c>
    </row>
    <row r="74" spans="1:23" ht="11.25" customHeight="1" x14ac:dyDescent="0.25">
      <c r="A74" s="42" t="s">
        <v>981</v>
      </c>
      <c r="B74" s="282">
        <f t="shared" si="5"/>
        <v>11</v>
      </c>
      <c r="C74" s="27" t="s">
        <v>916</v>
      </c>
      <c r="D74" s="28" t="s">
        <v>917</v>
      </c>
      <c r="E74" s="28" t="s">
        <v>917</v>
      </c>
      <c r="F74" s="359" t="s">
        <v>76</v>
      </c>
      <c r="G74" s="360"/>
      <c r="H74" s="11">
        <v>-1081767.8600000001</v>
      </c>
      <c r="I74" s="11">
        <v>-2316975.64</v>
      </c>
      <c r="J74" s="336">
        <v>-1784999.99999999</v>
      </c>
      <c r="K74" s="130">
        <v>-2283339.33</v>
      </c>
      <c r="L74" s="143">
        <v>-1625000</v>
      </c>
      <c r="M74" s="170"/>
      <c r="N74" s="187"/>
      <c r="O74" s="88">
        <f t="shared" si="0"/>
        <v>-159999.99999998999</v>
      </c>
      <c r="P74" s="123">
        <f t="shared" si="1"/>
        <v>0.9103641456582684</v>
      </c>
      <c r="Q74" s="88">
        <f t="shared" si="2"/>
        <v>-691975.64000000013</v>
      </c>
      <c r="R74" s="123">
        <f t="shared" si="3"/>
        <v>0.70134531064815164</v>
      </c>
      <c r="S74" s="88">
        <f t="shared" si="8"/>
        <v>-658339.33000000007</v>
      </c>
      <c r="T74" s="124">
        <f t="shared" si="9"/>
        <v>0.71167696305568384</v>
      </c>
      <c r="U74" s="88">
        <f t="shared" si="10"/>
        <v>-33636.310000000056</v>
      </c>
      <c r="V74" s="124">
        <f t="shared" si="11"/>
        <v>0.98548266567014919</v>
      </c>
      <c r="W74" s="157">
        <f t="shared" si="4"/>
        <v>11</v>
      </c>
    </row>
    <row r="75" spans="1:23" ht="11.25" customHeight="1" x14ac:dyDescent="0.25">
      <c r="A75" s="42" t="s">
        <v>982</v>
      </c>
      <c r="B75" s="282">
        <f t="shared" si="5"/>
        <v>11</v>
      </c>
      <c r="C75" s="27" t="s">
        <v>916</v>
      </c>
      <c r="D75" s="28" t="s">
        <v>917</v>
      </c>
      <c r="E75" s="28" t="s">
        <v>917</v>
      </c>
      <c r="F75" s="359" t="s">
        <v>77</v>
      </c>
      <c r="G75" s="360"/>
      <c r="H75" s="11">
        <v>-25985735.300000001</v>
      </c>
      <c r="I75" s="11">
        <v>-23763989.050000001</v>
      </c>
      <c r="J75" s="336">
        <v>-22447481.653664701</v>
      </c>
      <c r="K75" s="130">
        <v>-26351726.059999999</v>
      </c>
      <c r="L75" s="143">
        <v>-26363000</v>
      </c>
      <c r="M75" s="170"/>
      <c r="N75" s="187"/>
      <c r="O75" s="88">
        <f t="shared" ref="O75:O138" si="19">-L75+J75</f>
        <v>3915518.3463352993</v>
      </c>
      <c r="P75" s="123">
        <f t="shared" ref="P75:P138" si="20">IF(J75=0,"",L75/J75)</f>
        <v>1.1744301836057438</v>
      </c>
      <c r="Q75" s="88">
        <f t="shared" ref="Q75:Q138" si="21">-L75+I75</f>
        <v>2599010.9499999993</v>
      </c>
      <c r="R75" s="123">
        <f t="shared" ref="R75:R138" si="22">IF(I75=0,"",L75/I75)</f>
        <v>1.1093676210896923</v>
      </c>
      <c r="S75" s="88">
        <f t="shared" si="8"/>
        <v>11273.940000001341</v>
      </c>
      <c r="T75" s="124">
        <f t="shared" si="9"/>
        <v>1.0004278254856753</v>
      </c>
      <c r="U75" s="88">
        <f t="shared" si="10"/>
        <v>2587737.0099999979</v>
      </c>
      <c r="V75" s="124">
        <f t="shared" si="11"/>
        <v>1.1088932083142833</v>
      </c>
      <c r="W75" s="157">
        <f t="shared" ref="W75:W138" si="23">LEN(A75)</f>
        <v>11</v>
      </c>
    </row>
    <row r="76" spans="1:23" ht="11.25" customHeight="1" x14ac:dyDescent="0.25">
      <c r="A76" s="42" t="s">
        <v>983</v>
      </c>
      <c r="B76" s="282">
        <f t="shared" ref="B76:B139" si="24">LEN(A76)</f>
        <v>11</v>
      </c>
      <c r="C76" s="27" t="s">
        <v>916</v>
      </c>
      <c r="D76" s="28" t="s">
        <v>917</v>
      </c>
      <c r="E76" s="28" t="s">
        <v>917</v>
      </c>
      <c r="F76" s="359" t="s">
        <v>78</v>
      </c>
      <c r="G76" s="360"/>
      <c r="H76" s="11">
        <v>-35852467.240000002</v>
      </c>
      <c r="I76" s="11">
        <v>-35269834.619999997</v>
      </c>
      <c r="J76" s="336">
        <v>-36000000</v>
      </c>
      <c r="K76" s="130">
        <v>-36629929.039999999</v>
      </c>
      <c r="L76" s="143">
        <v>-36222000</v>
      </c>
      <c r="M76" s="170"/>
      <c r="N76" s="187"/>
      <c r="O76" s="88">
        <f t="shared" si="19"/>
        <v>222000</v>
      </c>
      <c r="P76" s="123">
        <f t="shared" si="20"/>
        <v>1.0061666666666667</v>
      </c>
      <c r="Q76" s="88">
        <f t="shared" si="21"/>
        <v>952165.38000000268</v>
      </c>
      <c r="R76" s="123">
        <f t="shared" si="22"/>
        <v>1.0269965932718059</v>
      </c>
      <c r="S76" s="88">
        <f t="shared" ref="S76:S139" si="25">-L76+K76</f>
        <v>-407929.03999999911</v>
      </c>
      <c r="T76" s="124">
        <f t="shared" si="9"/>
        <v>0.98886350449779636</v>
      </c>
      <c r="U76" s="88">
        <f t="shared" si="10"/>
        <v>1360094.4200000018</v>
      </c>
      <c r="V76" s="124">
        <f t="shared" si="11"/>
        <v>1.0385625403309588</v>
      </c>
      <c r="W76" s="157">
        <f t="shared" si="23"/>
        <v>11</v>
      </c>
    </row>
    <row r="77" spans="1:23" ht="11.25" customHeight="1" x14ac:dyDescent="0.25">
      <c r="A77" s="42" t="s">
        <v>984</v>
      </c>
      <c r="B77" s="282">
        <f t="shared" si="24"/>
        <v>11</v>
      </c>
      <c r="C77" s="27" t="s">
        <v>916</v>
      </c>
      <c r="D77" s="28" t="s">
        <v>917</v>
      </c>
      <c r="E77" s="28" t="s">
        <v>917</v>
      </c>
      <c r="F77" s="359" t="s">
        <v>79</v>
      </c>
      <c r="G77" s="360"/>
      <c r="H77" s="11">
        <v>-7288375.4000000004</v>
      </c>
      <c r="I77" s="11">
        <v>-5935243.7800000003</v>
      </c>
      <c r="J77" s="336">
        <v>-7655000</v>
      </c>
      <c r="K77" s="130">
        <v>-6903473.5899999999</v>
      </c>
      <c r="L77" s="143">
        <v>-7600000</v>
      </c>
      <c r="M77" s="170"/>
      <c r="N77" s="187"/>
      <c r="O77" s="88">
        <f t="shared" si="19"/>
        <v>-55000</v>
      </c>
      <c r="P77" s="123">
        <f t="shared" si="20"/>
        <v>0.99281515349444804</v>
      </c>
      <c r="Q77" s="88">
        <f t="shared" si="21"/>
        <v>1664756.2199999997</v>
      </c>
      <c r="R77" s="123">
        <f t="shared" si="22"/>
        <v>1.2804865784299764</v>
      </c>
      <c r="S77" s="88">
        <f t="shared" si="25"/>
        <v>696526.41000000015</v>
      </c>
      <c r="T77" s="124">
        <f t="shared" ref="T77:T140" si="26">IF(K77=0,"",L77/K77)</f>
        <v>1.100895064045577</v>
      </c>
      <c r="U77" s="88">
        <f t="shared" ref="U77:U140" si="27">-K77+I77</f>
        <v>968229.80999999959</v>
      </c>
      <c r="V77" s="124">
        <f t="shared" ref="V77:V140" si="28">IF(I77=0,"",K77/I77)</f>
        <v>1.1631322732290534</v>
      </c>
      <c r="W77" s="157">
        <f t="shared" si="23"/>
        <v>11</v>
      </c>
    </row>
    <row r="78" spans="1:23" ht="11.25" customHeight="1" x14ac:dyDescent="0.25">
      <c r="A78" s="42" t="s">
        <v>985</v>
      </c>
      <c r="B78" s="282">
        <f t="shared" si="24"/>
        <v>11</v>
      </c>
      <c r="C78" s="27" t="s">
        <v>916</v>
      </c>
      <c r="D78" s="28" t="s">
        <v>917</v>
      </c>
      <c r="E78" s="28" t="s">
        <v>917</v>
      </c>
      <c r="F78" s="359" t="s">
        <v>80</v>
      </c>
      <c r="G78" s="360"/>
      <c r="H78" s="11">
        <v>-13279632.1</v>
      </c>
      <c r="I78" s="11">
        <v>-13300200.279999999</v>
      </c>
      <c r="J78" s="336">
        <v>-13500000</v>
      </c>
      <c r="K78" s="130">
        <v>-14096376.390000001</v>
      </c>
      <c r="L78" s="143">
        <v>-13745000</v>
      </c>
      <c r="M78" s="170"/>
      <c r="N78" s="187"/>
      <c r="O78" s="88">
        <f t="shared" si="19"/>
        <v>245000</v>
      </c>
      <c r="P78" s="123">
        <f t="shared" si="20"/>
        <v>1.0181481481481482</v>
      </c>
      <c r="Q78" s="88">
        <f t="shared" si="21"/>
        <v>444799.72000000067</v>
      </c>
      <c r="R78" s="123">
        <f t="shared" si="22"/>
        <v>1.0334430843623357</v>
      </c>
      <c r="S78" s="88">
        <f t="shared" si="25"/>
        <v>-351376.3900000006</v>
      </c>
      <c r="T78" s="124">
        <f t="shared" si="26"/>
        <v>0.97507328264522874</v>
      </c>
      <c r="U78" s="88">
        <f t="shared" si="27"/>
        <v>796176.11000000127</v>
      </c>
      <c r="V78" s="124">
        <f t="shared" si="28"/>
        <v>1.0598619639733726</v>
      </c>
      <c r="W78" s="157">
        <f t="shared" si="23"/>
        <v>11</v>
      </c>
    </row>
    <row r="79" spans="1:23" ht="11.25" customHeight="1" x14ac:dyDescent="0.25">
      <c r="A79" s="42" t="s">
        <v>986</v>
      </c>
      <c r="B79" s="282">
        <f t="shared" si="24"/>
        <v>11</v>
      </c>
      <c r="C79" s="27" t="s">
        <v>916</v>
      </c>
      <c r="D79" s="28" t="s">
        <v>917</v>
      </c>
      <c r="E79" s="28" t="s">
        <v>917</v>
      </c>
      <c r="F79" s="359" t="s">
        <v>81</v>
      </c>
      <c r="G79" s="360"/>
      <c r="H79" s="11">
        <v>-5473288.1100000003</v>
      </c>
      <c r="I79" s="11">
        <v>-3112908.22</v>
      </c>
      <c r="J79" s="336">
        <v>-5300000</v>
      </c>
      <c r="K79" s="130">
        <v>-2805806.7</v>
      </c>
      <c r="L79" s="143">
        <v>-4438000</v>
      </c>
      <c r="M79" s="170"/>
      <c r="N79" s="187"/>
      <c r="O79" s="88">
        <f t="shared" si="19"/>
        <v>-862000</v>
      </c>
      <c r="P79" s="123">
        <f t="shared" si="20"/>
        <v>0.83735849056603773</v>
      </c>
      <c r="Q79" s="88">
        <f t="shared" si="21"/>
        <v>1325091.7799999998</v>
      </c>
      <c r="R79" s="123">
        <f t="shared" si="22"/>
        <v>1.4256764691893165</v>
      </c>
      <c r="S79" s="88">
        <f t="shared" si="25"/>
        <v>1632193.2999999998</v>
      </c>
      <c r="T79" s="124">
        <f t="shared" si="26"/>
        <v>1.5817197955939017</v>
      </c>
      <c r="U79" s="88">
        <f t="shared" si="27"/>
        <v>-307101.52</v>
      </c>
      <c r="V79" s="124">
        <f t="shared" si="28"/>
        <v>0.90134578397560339</v>
      </c>
      <c r="W79" s="157">
        <f t="shared" si="23"/>
        <v>11</v>
      </c>
    </row>
    <row r="80" spans="1:23" ht="11.25" customHeight="1" x14ac:dyDescent="0.25">
      <c r="A80" s="42" t="s">
        <v>987</v>
      </c>
      <c r="B80" s="282">
        <f t="shared" si="24"/>
        <v>11</v>
      </c>
      <c r="C80" s="27" t="s">
        <v>916</v>
      </c>
      <c r="D80" s="28" t="s">
        <v>917</v>
      </c>
      <c r="E80" s="28" t="s">
        <v>917</v>
      </c>
      <c r="F80" s="359" t="s">
        <v>82</v>
      </c>
      <c r="G80" s="360"/>
      <c r="H80" s="11">
        <v>-24128533.199999999</v>
      </c>
      <c r="I80" s="11">
        <v>-27623453.18</v>
      </c>
      <c r="J80" s="336">
        <v>-27817209.652351901</v>
      </c>
      <c r="K80" s="130">
        <v>-27760159.850000001</v>
      </c>
      <c r="L80" s="143">
        <v>-27678000</v>
      </c>
      <c r="M80" s="170"/>
      <c r="N80" s="187"/>
      <c r="O80" s="88">
        <f t="shared" si="19"/>
        <v>-139209.65235190094</v>
      </c>
      <c r="P80" s="123">
        <f t="shared" si="20"/>
        <v>0.99499555656042837</v>
      </c>
      <c r="Q80" s="88">
        <f t="shared" si="21"/>
        <v>54546.820000000298</v>
      </c>
      <c r="R80" s="123">
        <f t="shared" si="22"/>
        <v>1.0019746560882363</v>
      </c>
      <c r="S80" s="88">
        <f t="shared" si="25"/>
        <v>-82159.85000000149</v>
      </c>
      <c r="T80" s="124">
        <f t="shared" si="26"/>
        <v>0.99704036826718767</v>
      </c>
      <c r="U80" s="88">
        <f t="shared" si="27"/>
        <v>136706.67000000179</v>
      </c>
      <c r="V80" s="124">
        <f t="shared" si="28"/>
        <v>1.0049489348456615</v>
      </c>
      <c r="W80" s="157">
        <f t="shared" si="23"/>
        <v>11</v>
      </c>
    </row>
    <row r="81" spans="1:23" ht="11.25" customHeight="1" x14ac:dyDescent="0.25">
      <c r="A81" s="42" t="s">
        <v>988</v>
      </c>
      <c r="B81" s="282">
        <f t="shared" si="24"/>
        <v>11</v>
      </c>
      <c r="C81" s="27" t="s">
        <v>916</v>
      </c>
      <c r="D81" s="28" t="s">
        <v>917</v>
      </c>
      <c r="E81" s="28" t="s">
        <v>917</v>
      </c>
      <c r="F81" s="359" t="s">
        <v>83</v>
      </c>
      <c r="G81" s="360"/>
      <c r="H81" s="11">
        <v>-2371149.7799999998</v>
      </c>
      <c r="I81" s="11">
        <v>-1280403.74</v>
      </c>
      <c r="J81" s="336">
        <v>-1400000</v>
      </c>
      <c r="K81" s="130">
        <v>-755684.11</v>
      </c>
      <c r="L81" s="143">
        <v>-1155000</v>
      </c>
      <c r="M81" s="170"/>
      <c r="N81" s="187"/>
      <c r="O81" s="88">
        <f t="shared" si="19"/>
        <v>-245000</v>
      </c>
      <c r="P81" s="123">
        <f t="shared" si="20"/>
        <v>0.82499999999999996</v>
      </c>
      <c r="Q81" s="88">
        <f t="shared" si="21"/>
        <v>-125403.73999999999</v>
      </c>
      <c r="R81" s="123">
        <f t="shared" si="22"/>
        <v>0.90205922078921763</v>
      </c>
      <c r="S81" s="88">
        <f t="shared" si="25"/>
        <v>399315.89</v>
      </c>
      <c r="T81" s="124">
        <f t="shared" si="26"/>
        <v>1.5284164172778492</v>
      </c>
      <c r="U81" s="88">
        <f t="shared" si="27"/>
        <v>-524719.63</v>
      </c>
      <c r="V81" s="124">
        <f t="shared" si="28"/>
        <v>0.59019205145402032</v>
      </c>
      <c r="W81" s="157">
        <f t="shared" si="23"/>
        <v>11</v>
      </c>
    </row>
    <row r="82" spans="1:23" ht="11.25" customHeight="1" x14ac:dyDescent="0.25">
      <c r="A82" s="42" t="s">
        <v>989</v>
      </c>
      <c r="B82" s="282">
        <f t="shared" si="24"/>
        <v>11</v>
      </c>
      <c r="C82" s="27" t="s">
        <v>916</v>
      </c>
      <c r="D82" s="28" t="s">
        <v>917</v>
      </c>
      <c r="E82" s="28" t="s">
        <v>917</v>
      </c>
      <c r="F82" s="359" t="s">
        <v>84</v>
      </c>
      <c r="G82" s="360"/>
      <c r="H82" s="11">
        <v>-22059578.899999999</v>
      </c>
      <c r="I82" s="11">
        <v>-21252983.710000001</v>
      </c>
      <c r="J82" s="336">
        <v>-21739733.333333299</v>
      </c>
      <c r="K82" s="130">
        <v>-22406976.579999998</v>
      </c>
      <c r="L82" s="143">
        <v>-22140000</v>
      </c>
      <c r="M82" s="170"/>
      <c r="N82" s="187"/>
      <c r="O82" s="88">
        <f t="shared" si="19"/>
        <v>400266.66666670144</v>
      </c>
      <c r="P82" s="123">
        <f t="shared" si="20"/>
        <v>1.0184117560473005</v>
      </c>
      <c r="Q82" s="88">
        <f t="shared" si="21"/>
        <v>887016.28999999911</v>
      </c>
      <c r="R82" s="123">
        <f t="shared" si="22"/>
        <v>1.0417360829003335</v>
      </c>
      <c r="S82" s="88">
        <f t="shared" si="25"/>
        <v>-266976.57999999821</v>
      </c>
      <c r="T82" s="124">
        <f t="shared" si="26"/>
        <v>0.98808511362312501</v>
      </c>
      <c r="U82" s="88">
        <f t="shared" si="27"/>
        <v>1153992.8699999973</v>
      </c>
      <c r="V82" s="124">
        <f t="shared" si="28"/>
        <v>1.0542979228585687</v>
      </c>
      <c r="W82" s="157">
        <f t="shared" si="23"/>
        <v>11</v>
      </c>
    </row>
    <row r="83" spans="1:23" ht="11.25" customHeight="1" x14ac:dyDescent="0.25">
      <c r="A83" s="42" t="s">
        <v>990</v>
      </c>
      <c r="B83" s="282">
        <f t="shared" si="24"/>
        <v>11</v>
      </c>
      <c r="C83" s="27" t="s">
        <v>916</v>
      </c>
      <c r="D83" s="28" t="s">
        <v>917</v>
      </c>
      <c r="E83" s="28" t="s">
        <v>917</v>
      </c>
      <c r="F83" s="359" t="s">
        <v>85</v>
      </c>
      <c r="G83" s="360"/>
      <c r="H83" s="11">
        <v>-5464030.7699999996</v>
      </c>
      <c r="I83" s="11">
        <v>-5621178.6600000104</v>
      </c>
      <c r="J83" s="336">
        <v>-5547059.7117859703</v>
      </c>
      <c r="K83" s="130">
        <v>-5842159.2300000004</v>
      </c>
      <c r="L83" s="143">
        <v>-5913000</v>
      </c>
      <c r="M83" s="170"/>
      <c r="N83" s="187"/>
      <c r="O83" s="88">
        <f t="shared" si="19"/>
        <v>365940.28821402974</v>
      </c>
      <c r="P83" s="123">
        <f t="shared" si="20"/>
        <v>1.0659701368342056</v>
      </c>
      <c r="Q83" s="88">
        <f t="shared" si="21"/>
        <v>291821.33999998961</v>
      </c>
      <c r="R83" s="123">
        <f t="shared" si="22"/>
        <v>1.0519146174941163</v>
      </c>
      <c r="S83" s="88">
        <f t="shared" si="25"/>
        <v>70840.769999999553</v>
      </c>
      <c r="T83" s="124">
        <f t="shared" si="26"/>
        <v>1.012125785554804</v>
      </c>
      <c r="U83" s="88">
        <f t="shared" si="27"/>
        <v>220980.56999999005</v>
      </c>
      <c r="V83" s="124">
        <f t="shared" si="28"/>
        <v>1.0393121413436786</v>
      </c>
      <c r="W83" s="157">
        <f t="shared" si="23"/>
        <v>11</v>
      </c>
    </row>
    <row r="84" spans="1:23" ht="11.25" customHeight="1" x14ac:dyDescent="0.25">
      <c r="A84" s="42" t="s">
        <v>991</v>
      </c>
      <c r="B84" s="282">
        <f t="shared" si="24"/>
        <v>11</v>
      </c>
      <c r="C84" s="27" t="s">
        <v>916</v>
      </c>
      <c r="D84" s="28" t="s">
        <v>917</v>
      </c>
      <c r="E84" s="28" t="s">
        <v>917</v>
      </c>
      <c r="F84" s="359" t="s">
        <v>86</v>
      </c>
      <c r="G84" s="360"/>
      <c r="H84" s="11">
        <v>-19085697.370000001</v>
      </c>
      <c r="I84" s="11">
        <v>-21705858.370000001</v>
      </c>
      <c r="J84" s="336">
        <v>-19680212.883061498</v>
      </c>
      <c r="K84" s="130">
        <v>-22732620.809999999</v>
      </c>
      <c r="L84" s="143">
        <v>-23052000</v>
      </c>
      <c r="M84" s="170"/>
      <c r="N84" s="187"/>
      <c r="O84" s="88">
        <f t="shared" si="19"/>
        <v>3371787.1169385016</v>
      </c>
      <c r="P84" s="123">
        <f t="shared" si="20"/>
        <v>1.1713287928831579</v>
      </c>
      <c r="Q84" s="88">
        <f t="shared" si="21"/>
        <v>1346141.629999999</v>
      </c>
      <c r="R84" s="123">
        <f t="shared" si="22"/>
        <v>1.0620174335911323</v>
      </c>
      <c r="S84" s="88">
        <f t="shared" si="25"/>
        <v>319379.19000000134</v>
      </c>
      <c r="T84" s="124">
        <f t="shared" si="26"/>
        <v>1.0140493783215487</v>
      </c>
      <c r="U84" s="88">
        <f t="shared" si="27"/>
        <v>1026762.4399999976</v>
      </c>
      <c r="V84" s="124">
        <f t="shared" si="28"/>
        <v>1.0473034709108349</v>
      </c>
      <c r="W84" s="157">
        <f t="shared" si="23"/>
        <v>11</v>
      </c>
    </row>
    <row r="85" spans="1:23" ht="11.25" customHeight="1" x14ac:dyDescent="0.25">
      <c r="A85" s="42" t="s">
        <v>992</v>
      </c>
      <c r="B85" s="282">
        <f t="shared" si="24"/>
        <v>11</v>
      </c>
      <c r="C85" s="27" t="s">
        <v>916</v>
      </c>
      <c r="D85" s="28" t="s">
        <v>917</v>
      </c>
      <c r="E85" s="28" t="s">
        <v>917</v>
      </c>
      <c r="F85" s="359" t="s">
        <v>87</v>
      </c>
      <c r="G85" s="360"/>
      <c r="H85" s="11">
        <v>-4330208.88</v>
      </c>
      <c r="I85" s="11">
        <v>-4214075.17</v>
      </c>
      <c r="J85" s="336">
        <v>-4330000</v>
      </c>
      <c r="K85" s="130">
        <v>-4075850.1</v>
      </c>
      <c r="L85" s="143">
        <v>-4330000</v>
      </c>
      <c r="M85" s="170"/>
      <c r="N85" s="187"/>
      <c r="O85" s="88">
        <f t="shared" si="19"/>
        <v>0</v>
      </c>
      <c r="P85" s="123">
        <f t="shared" si="20"/>
        <v>1</v>
      </c>
      <c r="Q85" s="88">
        <f t="shared" si="21"/>
        <v>115924.83000000007</v>
      </c>
      <c r="R85" s="123">
        <f t="shared" si="22"/>
        <v>1.0275089611180335</v>
      </c>
      <c r="S85" s="88">
        <f t="shared" si="25"/>
        <v>254149.89999999991</v>
      </c>
      <c r="T85" s="124">
        <f t="shared" si="26"/>
        <v>1.062355065511364</v>
      </c>
      <c r="U85" s="88">
        <f t="shared" si="27"/>
        <v>-138225.06999999983</v>
      </c>
      <c r="V85" s="124">
        <f t="shared" si="28"/>
        <v>0.96719919213021543</v>
      </c>
      <c r="W85" s="157">
        <f t="shared" si="23"/>
        <v>11</v>
      </c>
    </row>
    <row r="86" spans="1:23" ht="11.25" customHeight="1" x14ac:dyDescent="0.25">
      <c r="A86" s="42" t="s">
        <v>993</v>
      </c>
      <c r="B86" s="282">
        <f t="shared" si="24"/>
        <v>11</v>
      </c>
      <c r="C86" s="27" t="s">
        <v>916</v>
      </c>
      <c r="D86" s="28" t="s">
        <v>917</v>
      </c>
      <c r="E86" s="28" t="s">
        <v>917</v>
      </c>
      <c r="F86" s="359" t="s">
        <v>88</v>
      </c>
      <c r="G86" s="360"/>
      <c r="H86" s="11">
        <v>-3020466.72</v>
      </c>
      <c r="I86" s="11">
        <v>-3199200.56</v>
      </c>
      <c r="J86" s="336">
        <v>-3170000</v>
      </c>
      <c r="K86" s="130">
        <v>-3201136.02</v>
      </c>
      <c r="L86" s="143">
        <v>-3270000</v>
      </c>
      <c r="M86" s="170"/>
      <c r="N86" s="187"/>
      <c r="O86" s="88">
        <f t="shared" si="19"/>
        <v>100000</v>
      </c>
      <c r="P86" s="123">
        <f t="shared" si="20"/>
        <v>1.0315457413249212</v>
      </c>
      <c r="Q86" s="88">
        <f t="shared" si="21"/>
        <v>70799.439999999944</v>
      </c>
      <c r="R86" s="123">
        <f t="shared" si="22"/>
        <v>1.022130353715617</v>
      </c>
      <c r="S86" s="88">
        <f t="shared" si="25"/>
        <v>68863.979999999981</v>
      </c>
      <c r="T86" s="124">
        <f t="shared" si="26"/>
        <v>1.0215123567289091</v>
      </c>
      <c r="U86" s="88">
        <f t="shared" si="27"/>
        <v>1935.4599999999627</v>
      </c>
      <c r="V86" s="124">
        <f t="shared" si="28"/>
        <v>1.0006049823897254</v>
      </c>
      <c r="W86" s="157">
        <f t="shared" si="23"/>
        <v>11</v>
      </c>
    </row>
    <row r="87" spans="1:23" ht="11.25" customHeight="1" x14ac:dyDescent="0.25">
      <c r="A87" s="42" t="s">
        <v>994</v>
      </c>
      <c r="B87" s="282">
        <f t="shared" si="24"/>
        <v>11</v>
      </c>
      <c r="C87" s="27" t="s">
        <v>916</v>
      </c>
      <c r="D87" s="28" t="s">
        <v>917</v>
      </c>
      <c r="E87" s="28" t="s">
        <v>917</v>
      </c>
      <c r="F87" s="359" t="s">
        <v>89</v>
      </c>
      <c r="G87" s="360"/>
      <c r="H87" s="11">
        <v>-198103.7</v>
      </c>
      <c r="I87" s="11">
        <v>-200166.99</v>
      </c>
      <c r="J87" s="336">
        <v>-199999.999999992</v>
      </c>
      <c r="K87" s="130">
        <v>-216925.65</v>
      </c>
      <c r="L87" s="143">
        <v>-220000</v>
      </c>
      <c r="M87" s="170"/>
      <c r="N87" s="187"/>
      <c r="O87" s="88">
        <f t="shared" si="19"/>
        <v>20000.000000008004</v>
      </c>
      <c r="P87" s="123">
        <f t="shared" si="20"/>
        <v>1.1000000000000441</v>
      </c>
      <c r="Q87" s="88">
        <f t="shared" si="21"/>
        <v>19833.010000000009</v>
      </c>
      <c r="R87" s="123">
        <f t="shared" si="22"/>
        <v>1.0990823212159009</v>
      </c>
      <c r="S87" s="88">
        <f t="shared" si="25"/>
        <v>3074.3500000000058</v>
      </c>
      <c r="T87" s="124">
        <f t="shared" si="26"/>
        <v>1.0141723673525929</v>
      </c>
      <c r="U87" s="88">
        <f t="shared" si="27"/>
        <v>16758.660000000003</v>
      </c>
      <c r="V87" s="124">
        <f t="shared" si="28"/>
        <v>1.0837233951512184</v>
      </c>
      <c r="W87" s="157">
        <f t="shared" si="23"/>
        <v>11</v>
      </c>
    </row>
    <row r="88" spans="1:23" ht="11.25" customHeight="1" x14ac:dyDescent="0.25">
      <c r="A88" s="83" t="s">
        <v>1638</v>
      </c>
      <c r="B88" s="282">
        <f t="shared" si="24"/>
        <v>11</v>
      </c>
      <c r="C88" s="29" t="s">
        <v>916</v>
      </c>
      <c r="D88" s="30" t="s">
        <v>917</v>
      </c>
      <c r="E88" s="30" t="s">
        <v>917</v>
      </c>
      <c r="F88" s="371" t="s">
        <v>1639</v>
      </c>
      <c r="G88" s="372"/>
      <c r="H88" s="19"/>
      <c r="I88" s="19"/>
      <c r="J88" s="338"/>
      <c r="K88" s="131"/>
      <c r="L88" s="144">
        <v>0</v>
      </c>
      <c r="M88" s="172"/>
      <c r="N88" s="188"/>
      <c r="O88" s="95">
        <f t="shared" si="19"/>
        <v>0</v>
      </c>
      <c r="P88" s="126" t="str">
        <f t="shared" si="20"/>
        <v/>
      </c>
      <c r="Q88" s="95">
        <f t="shared" si="21"/>
        <v>0</v>
      </c>
      <c r="R88" s="126" t="str">
        <f t="shared" si="22"/>
        <v/>
      </c>
      <c r="S88" s="95">
        <f t="shared" si="25"/>
        <v>0</v>
      </c>
      <c r="T88" s="348" t="str">
        <f t="shared" si="26"/>
        <v/>
      </c>
      <c r="U88" s="95">
        <f t="shared" si="27"/>
        <v>0</v>
      </c>
      <c r="V88" s="349" t="str">
        <f t="shared" si="28"/>
        <v/>
      </c>
      <c r="W88" s="157">
        <f t="shared" si="23"/>
        <v>11</v>
      </c>
    </row>
    <row r="89" spans="1:23" ht="11.25" customHeight="1" x14ac:dyDescent="0.25">
      <c r="A89" s="42" t="s">
        <v>995</v>
      </c>
      <c r="B89" s="282">
        <f t="shared" si="24"/>
        <v>11</v>
      </c>
      <c r="C89" s="27" t="s">
        <v>916</v>
      </c>
      <c r="D89" s="28" t="s">
        <v>917</v>
      </c>
      <c r="E89" s="28" t="s">
        <v>917</v>
      </c>
      <c r="F89" s="359" t="s">
        <v>90</v>
      </c>
      <c r="G89" s="360"/>
      <c r="H89" s="11">
        <v>0</v>
      </c>
      <c r="I89" s="11">
        <v>-2385820.9300000002</v>
      </c>
      <c r="J89" s="336">
        <v>-2107000</v>
      </c>
      <c r="K89" s="130">
        <v>-2921608.95</v>
      </c>
      <c r="L89" s="143">
        <v>-2130000</v>
      </c>
      <c r="M89" s="170"/>
      <c r="N89" s="187"/>
      <c r="O89" s="88">
        <f t="shared" si="19"/>
        <v>23000</v>
      </c>
      <c r="P89" s="123">
        <f t="shared" si="20"/>
        <v>1.0109159943046986</v>
      </c>
      <c r="Q89" s="88">
        <f t="shared" si="21"/>
        <v>-255820.93000000017</v>
      </c>
      <c r="R89" s="123">
        <f t="shared" si="22"/>
        <v>0.89277446316979026</v>
      </c>
      <c r="S89" s="88">
        <f t="shared" si="25"/>
        <v>-791608.95000000019</v>
      </c>
      <c r="T89" s="124">
        <f t="shared" si="26"/>
        <v>0.7290503405666251</v>
      </c>
      <c r="U89" s="88">
        <f t="shared" si="27"/>
        <v>535788.02</v>
      </c>
      <c r="V89" s="124">
        <f t="shared" si="28"/>
        <v>1.2245717661635234</v>
      </c>
      <c r="W89" s="157">
        <f t="shared" si="23"/>
        <v>11</v>
      </c>
    </row>
    <row r="90" spans="1:23" ht="11.25" customHeight="1" x14ac:dyDescent="0.25">
      <c r="A90" s="42" t="s">
        <v>996</v>
      </c>
      <c r="B90" s="282">
        <f t="shared" si="24"/>
        <v>11</v>
      </c>
      <c r="C90" s="27" t="s">
        <v>916</v>
      </c>
      <c r="D90" s="28" t="s">
        <v>917</v>
      </c>
      <c r="E90" s="28" t="s">
        <v>917</v>
      </c>
      <c r="F90" s="359" t="s">
        <v>91</v>
      </c>
      <c r="G90" s="360"/>
      <c r="H90" s="11">
        <v>-4270088.1399999997</v>
      </c>
      <c r="I90" s="11">
        <v>-4401019.24</v>
      </c>
      <c r="J90" s="336">
        <v>-4349999.9999999804</v>
      </c>
      <c r="K90" s="130">
        <v>-4031719.61</v>
      </c>
      <c r="L90" s="143">
        <v>-4470000</v>
      </c>
      <c r="M90" s="170"/>
      <c r="N90" s="187"/>
      <c r="O90" s="88">
        <f t="shared" si="19"/>
        <v>120000.00000001956</v>
      </c>
      <c r="P90" s="123">
        <f t="shared" si="20"/>
        <v>1.0275862068965564</v>
      </c>
      <c r="Q90" s="88">
        <f t="shared" si="21"/>
        <v>68980.759999999776</v>
      </c>
      <c r="R90" s="123">
        <f t="shared" si="22"/>
        <v>1.0156738146866178</v>
      </c>
      <c r="S90" s="88">
        <f t="shared" si="25"/>
        <v>438280.39000000013</v>
      </c>
      <c r="T90" s="124">
        <f t="shared" si="26"/>
        <v>1.1087080532368669</v>
      </c>
      <c r="U90" s="88">
        <f t="shared" si="27"/>
        <v>-369299.63000000035</v>
      </c>
      <c r="V90" s="124">
        <f t="shared" si="28"/>
        <v>0.91608770381108351</v>
      </c>
      <c r="W90" s="157">
        <f t="shared" si="23"/>
        <v>11</v>
      </c>
    </row>
    <row r="91" spans="1:23" ht="11.25" customHeight="1" x14ac:dyDescent="0.25">
      <c r="A91" s="207" t="s">
        <v>997</v>
      </c>
      <c r="B91" s="282">
        <f t="shared" si="24"/>
        <v>11</v>
      </c>
      <c r="C91" s="208" t="s">
        <v>922</v>
      </c>
      <c r="D91" s="208" t="s">
        <v>923</v>
      </c>
      <c r="E91" s="208" t="s">
        <v>922</v>
      </c>
      <c r="F91" s="369" t="s">
        <v>92</v>
      </c>
      <c r="G91" s="370"/>
      <c r="H91" s="209">
        <v>101081809.65000001</v>
      </c>
      <c r="I91" s="209">
        <v>0</v>
      </c>
      <c r="J91" s="339">
        <v>0</v>
      </c>
      <c r="K91" s="210">
        <v>0</v>
      </c>
      <c r="L91" s="198">
        <v>0</v>
      </c>
      <c r="M91" s="206" t="s">
        <v>1770</v>
      </c>
      <c r="N91" s="187"/>
      <c r="O91" s="88">
        <f t="shared" si="19"/>
        <v>0</v>
      </c>
      <c r="P91" s="123" t="str">
        <f t="shared" si="20"/>
        <v/>
      </c>
      <c r="Q91" s="88">
        <f t="shared" si="21"/>
        <v>0</v>
      </c>
      <c r="R91" s="123" t="str">
        <f t="shared" si="22"/>
        <v/>
      </c>
      <c r="S91" s="88">
        <f t="shared" si="25"/>
        <v>0</v>
      </c>
      <c r="T91" s="124" t="str">
        <f t="shared" si="26"/>
        <v/>
      </c>
      <c r="U91" s="88">
        <f t="shared" si="27"/>
        <v>0</v>
      </c>
      <c r="V91" s="124" t="str">
        <f t="shared" si="28"/>
        <v/>
      </c>
      <c r="W91" s="157">
        <f t="shared" si="23"/>
        <v>11</v>
      </c>
    </row>
    <row r="92" spans="1:23" ht="11.25" customHeight="1" x14ac:dyDescent="0.25">
      <c r="A92" s="42" t="s">
        <v>998</v>
      </c>
      <c r="B92" s="282">
        <f t="shared" si="24"/>
        <v>11</v>
      </c>
      <c r="C92" s="27" t="s">
        <v>916</v>
      </c>
      <c r="D92" s="28" t="s">
        <v>917</v>
      </c>
      <c r="E92" s="28" t="s">
        <v>917</v>
      </c>
      <c r="F92" s="359" t="s">
        <v>1637</v>
      </c>
      <c r="G92" s="360"/>
      <c r="H92" s="11">
        <v>-110470.59</v>
      </c>
      <c r="I92" s="11">
        <v>-8088.59</v>
      </c>
      <c r="J92" s="336">
        <v>-109999.999999992</v>
      </c>
      <c r="K92" s="130">
        <v>-994.99</v>
      </c>
      <c r="L92" s="143">
        <v>-5000</v>
      </c>
      <c r="M92" s="170"/>
      <c r="N92" s="187"/>
      <c r="O92" s="88">
        <f t="shared" si="19"/>
        <v>-104999.999999992</v>
      </c>
      <c r="P92" s="123">
        <f t="shared" si="20"/>
        <v>4.5454545454548759E-2</v>
      </c>
      <c r="Q92" s="88">
        <f t="shared" si="21"/>
        <v>-3088.59</v>
      </c>
      <c r="R92" s="123">
        <f t="shared" si="22"/>
        <v>0.61815470928802174</v>
      </c>
      <c r="S92" s="88">
        <f t="shared" si="25"/>
        <v>4005.01</v>
      </c>
      <c r="T92" s="124">
        <f t="shared" si="26"/>
        <v>5.0251761324234412</v>
      </c>
      <c r="U92" s="88">
        <f t="shared" si="27"/>
        <v>-7093.6</v>
      </c>
      <c r="V92" s="124">
        <f t="shared" si="28"/>
        <v>0.12301155083889775</v>
      </c>
      <c r="W92" s="157">
        <f t="shared" si="23"/>
        <v>11</v>
      </c>
    </row>
    <row r="93" spans="1:23" ht="11.25" customHeight="1" x14ac:dyDescent="0.25">
      <c r="A93" s="42" t="s">
        <v>999</v>
      </c>
      <c r="B93" s="282">
        <f t="shared" si="24"/>
        <v>11</v>
      </c>
      <c r="C93" s="27" t="s">
        <v>916</v>
      </c>
      <c r="D93" s="28" t="s">
        <v>917</v>
      </c>
      <c r="E93" s="28" t="s">
        <v>917</v>
      </c>
      <c r="F93" s="359" t="s">
        <v>1676</v>
      </c>
      <c r="G93" s="360"/>
      <c r="H93" s="11">
        <v>-1502073</v>
      </c>
      <c r="I93" s="11">
        <v>-765245.11</v>
      </c>
      <c r="J93" s="336">
        <v>-1400000</v>
      </c>
      <c r="K93" s="130">
        <v>0</v>
      </c>
      <c r="L93" s="143">
        <v>0</v>
      </c>
      <c r="M93" s="170"/>
      <c r="N93" s="187"/>
      <c r="O93" s="88">
        <f t="shared" si="19"/>
        <v>-1400000</v>
      </c>
      <c r="P93" s="123">
        <f t="shared" si="20"/>
        <v>0</v>
      </c>
      <c r="Q93" s="88">
        <f t="shared" si="21"/>
        <v>-765245.11</v>
      </c>
      <c r="R93" s="123">
        <f t="shared" si="22"/>
        <v>0</v>
      </c>
      <c r="S93" s="88">
        <f t="shared" si="25"/>
        <v>0</v>
      </c>
      <c r="T93" s="124" t="str">
        <f t="shared" si="26"/>
        <v/>
      </c>
      <c r="U93" s="88">
        <f t="shared" si="27"/>
        <v>-765245.11</v>
      </c>
      <c r="V93" s="124">
        <f t="shared" si="28"/>
        <v>0</v>
      </c>
      <c r="W93" s="157">
        <f t="shared" si="23"/>
        <v>11</v>
      </c>
    </row>
    <row r="94" spans="1:23" ht="11.25" customHeight="1" x14ac:dyDescent="0.25">
      <c r="A94" s="42" t="s">
        <v>1000</v>
      </c>
      <c r="B94" s="282">
        <f t="shared" si="24"/>
        <v>11</v>
      </c>
      <c r="C94" s="27" t="s">
        <v>916</v>
      </c>
      <c r="D94" s="28" t="s">
        <v>917</v>
      </c>
      <c r="E94" s="28" t="s">
        <v>917</v>
      </c>
      <c r="F94" s="359" t="s">
        <v>1675</v>
      </c>
      <c r="G94" s="360"/>
      <c r="H94" s="11">
        <v>-220230.64</v>
      </c>
      <c r="I94" s="11">
        <v>-110115.32</v>
      </c>
      <c r="J94" s="336">
        <v>-240000</v>
      </c>
      <c r="K94" s="130">
        <v>0</v>
      </c>
      <c r="L94" s="143">
        <v>0</v>
      </c>
      <c r="M94" s="211"/>
      <c r="N94" s="187"/>
      <c r="O94" s="88">
        <f t="shared" si="19"/>
        <v>-240000</v>
      </c>
      <c r="P94" s="123">
        <f t="shared" si="20"/>
        <v>0</v>
      </c>
      <c r="Q94" s="88">
        <f t="shared" si="21"/>
        <v>-110115.32</v>
      </c>
      <c r="R94" s="123">
        <f t="shared" si="22"/>
        <v>0</v>
      </c>
      <c r="S94" s="88">
        <f t="shared" si="25"/>
        <v>0</v>
      </c>
      <c r="T94" s="124" t="str">
        <f t="shared" si="26"/>
        <v/>
      </c>
      <c r="U94" s="88">
        <f t="shared" si="27"/>
        <v>-110115.32</v>
      </c>
      <c r="V94" s="124">
        <f t="shared" si="28"/>
        <v>0</v>
      </c>
      <c r="W94" s="157">
        <f t="shared" si="23"/>
        <v>11</v>
      </c>
    </row>
    <row r="95" spans="1:23" ht="11.25" customHeight="1" x14ac:dyDescent="0.25">
      <c r="A95" s="42" t="s">
        <v>1001</v>
      </c>
      <c r="B95" s="282">
        <f t="shared" si="24"/>
        <v>11</v>
      </c>
      <c r="C95" s="27" t="s">
        <v>916</v>
      </c>
      <c r="D95" s="28" t="s">
        <v>917</v>
      </c>
      <c r="E95" s="28" t="s">
        <v>917</v>
      </c>
      <c r="F95" s="359" t="s">
        <v>94</v>
      </c>
      <c r="G95" s="360"/>
      <c r="H95" s="11">
        <v>-145999.4</v>
      </c>
      <c r="I95" s="11">
        <v>0</v>
      </c>
      <c r="J95" s="336">
        <v>0</v>
      </c>
      <c r="K95" s="130">
        <v>-1850614</v>
      </c>
      <c r="L95" s="143">
        <v>-2555000</v>
      </c>
      <c r="M95" s="211"/>
      <c r="N95" s="187"/>
      <c r="O95" s="88">
        <f t="shared" si="19"/>
        <v>2555000</v>
      </c>
      <c r="P95" s="123" t="str">
        <f t="shared" si="20"/>
        <v/>
      </c>
      <c r="Q95" s="88">
        <f t="shared" si="21"/>
        <v>2555000</v>
      </c>
      <c r="R95" s="123" t="str">
        <f t="shared" si="22"/>
        <v/>
      </c>
      <c r="S95" s="88">
        <f t="shared" si="25"/>
        <v>704386</v>
      </c>
      <c r="T95" s="124">
        <f t="shared" si="26"/>
        <v>1.3806228635469093</v>
      </c>
      <c r="U95" s="88">
        <f t="shared" si="27"/>
        <v>1850614</v>
      </c>
      <c r="V95" s="124" t="str">
        <f t="shared" si="28"/>
        <v/>
      </c>
      <c r="W95" s="157">
        <f t="shared" si="23"/>
        <v>11</v>
      </c>
    </row>
    <row r="96" spans="1:23" ht="11.25" customHeight="1" x14ac:dyDescent="0.25">
      <c r="A96" s="42" t="s">
        <v>1002</v>
      </c>
      <c r="B96" s="282">
        <f t="shared" si="24"/>
        <v>11</v>
      </c>
      <c r="C96" s="27" t="s">
        <v>916</v>
      </c>
      <c r="D96" s="28" t="s">
        <v>917</v>
      </c>
      <c r="E96" s="28" t="s">
        <v>917</v>
      </c>
      <c r="F96" s="359" t="s">
        <v>95</v>
      </c>
      <c r="G96" s="360"/>
      <c r="H96" s="11">
        <v>0</v>
      </c>
      <c r="I96" s="11">
        <v>-502550</v>
      </c>
      <c r="J96" s="336">
        <v>0</v>
      </c>
      <c r="K96" s="130">
        <v>0</v>
      </c>
      <c r="L96" s="145">
        <v>0</v>
      </c>
      <c r="M96" s="170"/>
      <c r="N96" s="187"/>
      <c r="O96" s="88">
        <f t="shared" si="19"/>
        <v>0</v>
      </c>
      <c r="P96" s="123" t="str">
        <f t="shared" si="20"/>
        <v/>
      </c>
      <c r="Q96" s="88">
        <f t="shared" si="21"/>
        <v>-502550</v>
      </c>
      <c r="R96" s="123">
        <f t="shared" si="22"/>
        <v>0</v>
      </c>
      <c r="S96" s="88">
        <f t="shared" si="25"/>
        <v>0</v>
      </c>
      <c r="T96" s="124" t="str">
        <f t="shared" si="26"/>
        <v/>
      </c>
      <c r="U96" s="88">
        <f t="shared" si="27"/>
        <v>-502550</v>
      </c>
      <c r="V96" s="124">
        <f t="shared" si="28"/>
        <v>0</v>
      </c>
      <c r="W96" s="157">
        <f t="shared" si="23"/>
        <v>11</v>
      </c>
    </row>
    <row r="97" spans="1:23" ht="11.25" customHeight="1" x14ac:dyDescent="0.25">
      <c r="A97" s="26" t="s">
        <v>1003</v>
      </c>
      <c r="B97" s="282">
        <f t="shared" si="24"/>
        <v>7</v>
      </c>
      <c r="C97" s="31"/>
      <c r="D97" s="32"/>
      <c r="E97" s="32"/>
      <c r="F97" s="361" t="s">
        <v>96</v>
      </c>
      <c r="G97" s="362"/>
      <c r="H97" s="25">
        <f t="shared" ref="H97:L97" si="29">SUM(H98:H107)</f>
        <v>-42760029.670000002</v>
      </c>
      <c r="I97" s="25">
        <f t="shared" si="29"/>
        <v>-44789924.079999998</v>
      </c>
      <c r="J97" s="129">
        <f t="shared" si="29"/>
        <v>-44489606.613470599</v>
      </c>
      <c r="K97" s="342">
        <f t="shared" si="29"/>
        <v>-46488045.910000011</v>
      </c>
      <c r="L97" s="140">
        <f t="shared" si="29"/>
        <v>-48155086.999999613</v>
      </c>
      <c r="M97" s="170"/>
      <c r="N97" s="187"/>
      <c r="O97" s="88">
        <f t="shared" si="19"/>
        <v>3665480.3865290135</v>
      </c>
      <c r="P97" s="123">
        <f t="shared" si="20"/>
        <v>1.0823895886150448</v>
      </c>
      <c r="Q97" s="88">
        <f t="shared" si="21"/>
        <v>3365162.9199996144</v>
      </c>
      <c r="R97" s="123">
        <f t="shared" si="22"/>
        <v>1.0751321416394688</v>
      </c>
      <c r="S97" s="88">
        <f t="shared" si="25"/>
        <v>1667041.0899996012</v>
      </c>
      <c r="T97" s="124">
        <f t="shared" si="26"/>
        <v>1.0358595646981368</v>
      </c>
      <c r="U97" s="88">
        <f t="shared" si="27"/>
        <v>1698121.8300000131</v>
      </c>
      <c r="V97" s="124">
        <f t="shared" si="28"/>
        <v>1.0379130321133603</v>
      </c>
      <c r="W97" s="157">
        <f t="shared" si="23"/>
        <v>7</v>
      </c>
    </row>
    <row r="98" spans="1:23" ht="11.25" customHeight="1" x14ac:dyDescent="0.25">
      <c r="A98" s="42" t="s">
        <v>1004</v>
      </c>
      <c r="B98" s="282">
        <f t="shared" si="24"/>
        <v>11</v>
      </c>
      <c r="C98" s="27" t="s">
        <v>916</v>
      </c>
      <c r="D98" s="28" t="s">
        <v>920</v>
      </c>
      <c r="E98" s="28" t="s">
        <v>917</v>
      </c>
      <c r="F98" s="359" t="s">
        <v>97</v>
      </c>
      <c r="G98" s="360"/>
      <c r="H98" s="11">
        <v>-17860832.899999999</v>
      </c>
      <c r="I98" s="11">
        <v>-18431664.010000002</v>
      </c>
      <c r="J98" s="336">
        <v>-17950399.999999698</v>
      </c>
      <c r="K98" s="130">
        <v>-19858897.66</v>
      </c>
      <c r="L98" s="145">
        <v>-19815000</v>
      </c>
      <c r="M98" s="170"/>
      <c r="N98" s="187"/>
      <c r="O98" s="88">
        <f t="shared" si="19"/>
        <v>1864600.0000003017</v>
      </c>
      <c r="P98" s="123">
        <f t="shared" si="20"/>
        <v>1.1038751225599615</v>
      </c>
      <c r="Q98" s="88">
        <f t="shared" si="21"/>
        <v>1383335.9899999984</v>
      </c>
      <c r="R98" s="123">
        <f t="shared" si="22"/>
        <v>1.0750521488048761</v>
      </c>
      <c r="S98" s="88">
        <f t="shared" si="25"/>
        <v>-43897.660000000149</v>
      </c>
      <c r="T98" s="124">
        <f t="shared" si="26"/>
        <v>0.99778952181779856</v>
      </c>
      <c r="U98" s="88">
        <f t="shared" si="27"/>
        <v>1427233.6499999985</v>
      </c>
      <c r="V98" s="124">
        <f t="shared" si="28"/>
        <v>1.0774337926963979</v>
      </c>
      <c r="W98" s="157">
        <f t="shared" si="23"/>
        <v>11</v>
      </c>
    </row>
    <row r="99" spans="1:23" ht="11.25" customHeight="1" x14ac:dyDescent="0.25">
      <c r="A99" s="42" t="s">
        <v>1005</v>
      </c>
      <c r="B99" s="282">
        <f t="shared" si="24"/>
        <v>11</v>
      </c>
      <c r="C99" s="27" t="s">
        <v>916</v>
      </c>
      <c r="D99" s="28" t="s">
        <v>920</v>
      </c>
      <c r="E99" s="28" t="s">
        <v>917</v>
      </c>
      <c r="F99" s="359" t="s">
        <v>98</v>
      </c>
      <c r="G99" s="360"/>
      <c r="H99" s="11">
        <v>-3894394.27</v>
      </c>
      <c r="I99" s="11">
        <v>-3836959.21</v>
      </c>
      <c r="J99" s="336">
        <v>-3959999.9999996098</v>
      </c>
      <c r="K99" s="130">
        <v>-3749736.39</v>
      </c>
      <c r="L99" s="247">
        <f>J99</f>
        <v>-3959999.9999996098</v>
      </c>
      <c r="M99" s="206" t="s">
        <v>1829</v>
      </c>
      <c r="N99" s="187"/>
      <c r="O99" s="88">
        <f t="shared" si="19"/>
        <v>0</v>
      </c>
      <c r="P99" s="123">
        <f t="shared" si="20"/>
        <v>1</v>
      </c>
      <c r="Q99" s="88">
        <f t="shared" si="21"/>
        <v>123040.78999960981</v>
      </c>
      <c r="R99" s="123">
        <f t="shared" si="22"/>
        <v>1.0320672655781529</v>
      </c>
      <c r="S99" s="88">
        <f t="shared" si="25"/>
        <v>210263.60999960965</v>
      </c>
      <c r="T99" s="124">
        <f t="shared" si="26"/>
        <v>1.0560742377945158</v>
      </c>
      <c r="U99" s="88">
        <f t="shared" si="27"/>
        <v>-87222.819999999832</v>
      </c>
      <c r="V99" s="124">
        <f t="shared" si="28"/>
        <v>0.97726772289559993</v>
      </c>
      <c r="W99" s="157">
        <f t="shared" si="23"/>
        <v>11</v>
      </c>
    </row>
    <row r="100" spans="1:23" ht="11.25" customHeight="1" x14ac:dyDescent="0.25">
      <c r="A100" s="42" t="s">
        <v>1006</v>
      </c>
      <c r="B100" s="282">
        <f t="shared" si="24"/>
        <v>11</v>
      </c>
      <c r="C100" s="27" t="s">
        <v>916</v>
      </c>
      <c r="D100" s="28" t="s">
        <v>919</v>
      </c>
      <c r="E100" s="28" t="s">
        <v>917</v>
      </c>
      <c r="F100" s="359" t="s">
        <v>99</v>
      </c>
      <c r="G100" s="360"/>
      <c r="H100" s="11">
        <v>-1850818.9</v>
      </c>
      <c r="I100" s="11">
        <v>-1936975.61</v>
      </c>
      <c r="J100" s="336">
        <v>-1925000</v>
      </c>
      <c r="K100" s="130">
        <v>-1676781.39</v>
      </c>
      <c r="L100" s="142">
        <v>-1925000</v>
      </c>
      <c r="M100" s="170"/>
      <c r="N100" s="187"/>
      <c r="O100" s="88">
        <f t="shared" si="19"/>
        <v>0</v>
      </c>
      <c r="P100" s="123">
        <f t="shared" si="20"/>
        <v>1</v>
      </c>
      <c r="Q100" s="88">
        <f t="shared" si="21"/>
        <v>-11975.610000000102</v>
      </c>
      <c r="R100" s="123">
        <f t="shared" si="22"/>
        <v>0.99381736665233478</v>
      </c>
      <c r="S100" s="88">
        <f t="shared" si="25"/>
        <v>248218.6100000001</v>
      </c>
      <c r="T100" s="124">
        <f t="shared" si="26"/>
        <v>1.1480327796338436</v>
      </c>
      <c r="U100" s="88">
        <f t="shared" si="27"/>
        <v>-260194.2200000002</v>
      </c>
      <c r="V100" s="124">
        <f t="shared" si="28"/>
        <v>0.86566985218776182</v>
      </c>
      <c r="W100" s="157">
        <f t="shared" si="23"/>
        <v>11</v>
      </c>
    </row>
    <row r="101" spans="1:23" ht="11.25" customHeight="1" x14ac:dyDescent="0.25">
      <c r="A101" s="42" t="s">
        <v>1007</v>
      </c>
      <c r="B101" s="282">
        <f t="shared" si="24"/>
        <v>11</v>
      </c>
      <c r="C101" s="27" t="s">
        <v>916</v>
      </c>
      <c r="D101" s="28" t="s">
        <v>919</v>
      </c>
      <c r="E101" s="28" t="s">
        <v>917</v>
      </c>
      <c r="F101" s="359" t="s">
        <v>100</v>
      </c>
      <c r="G101" s="360"/>
      <c r="H101" s="11">
        <v>-288477.26</v>
      </c>
      <c r="I101" s="11">
        <v>-219177.52</v>
      </c>
      <c r="J101" s="336">
        <v>-249599.999999981</v>
      </c>
      <c r="K101" s="130">
        <v>-211176.6</v>
      </c>
      <c r="L101" s="142">
        <v>-220000</v>
      </c>
      <c r="M101" s="170"/>
      <c r="N101" s="187"/>
      <c r="O101" s="88">
        <f t="shared" si="19"/>
        <v>-29599.999999980995</v>
      </c>
      <c r="P101" s="123">
        <f t="shared" si="20"/>
        <v>0.88141025641032356</v>
      </c>
      <c r="Q101" s="88">
        <f t="shared" si="21"/>
        <v>822.48000000001048</v>
      </c>
      <c r="R101" s="123">
        <f t="shared" si="22"/>
        <v>1.0037525746253539</v>
      </c>
      <c r="S101" s="88">
        <f t="shared" si="25"/>
        <v>8823.3999999999942</v>
      </c>
      <c r="T101" s="124">
        <f t="shared" si="26"/>
        <v>1.0417820913870193</v>
      </c>
      <c r="U101" s="88">
        <f t="shared" si="27"/>
        <v>-8000.9199999999837</v>
      </c>
      <c r="V101" s="124">
        <f t="shared" si="28"/>
        <v>0.96349570886649327</v>
      </c>
      <c r="W101" s="157">
        <f t="shared" si="23"/>
        <v>11</v>
      </c>
    </row>
    <row r="102" spans="1:23" ht="11.25" customHeight="1" x14ac:dyDescent="0.25">
      <c r="A102" s="42" t="s">
        <v>1008</v>
      </c>
      <c r="B102" s="282">
        <f t="shared" si="24"/>
        <v>11</v>
      </c>
      <c r="C102" s="27" t="s">
        <v>916</v>
      </c>
      <c r="D102" s="28" t="s">
        <v>923</v>
      </c>
      <c r="E102" s="28" t="s">
        <v>917</v>
      </c>
      <c r="F102" s="359" t="s">
        <v>101</v>
      </c>
      <c r="G102" s="360"/>
      <c r="H102" s="11">
        <v>-353106.78</v>
      </c>
      <c r="I102" s="11">
        <v>-377320.58</v>
      </c>
      <c r="J102" s="336">
        <v>-379999.99999999697</v>
      </c>
      <c r="K102" s="130">
        <v>-358049.35</v>
      </c>
      <c r="L102" s="142">
        <v>-380000</v>
      </c>
      <c r="M102" s="170"/>
      <c r="N102" s="187"/>
      <c r="O102" s="88">
        <f t="shared" si="19"/>
        <v>3.0267983675003052E-9</v>
      </c>
      <c r="P102" s="123">
        <f t="shared" si="20"/>
        <v>1.000000000000008</v>
      </c>
      <c r="Q102" s="88">
        <f t="shared" si="21"/>
        <v>2679.4199999999837</v>
      </c>
      <c r="R102" s="123">
        <f t="shared" si="22"/>
        <v>1.0071011764054851</v>
      </c>
      <c r="S102" s="88">
        <f t="shared" si="25"/>
        <v>21950.650000000023</v>
      </c>
      <c r="T102" s="124">
        <f t="shared" si="26"/>
        <v>1.0613062137942717</v>
      </c>
      <c r="U102" s="88">
        <f t="shared" si="27"/>
        <v>-19271.23000000004</v>
      </c>
      <c r="V102" s="124">
        <f t="shared" si="28"/>
        <v>0.9489261094637349</v>
      </c>
      <c r="W102" s="157">
        <f t="shared" si="23"/>
        <v>11</v>
      </c>
    </row>
    <row r="103" spans="1:23" ht="11.25" customHeight="1" x14ac:dyDescent="0.25">
      <c r="A103" s="42" t="s">
        <v>1009</v>
      </c>
      <c r="B103" s="282">
        <f t="shared" si="24"/>
        <v>11</v>
      </c>
      <c r="C103" s="20" t="s">
        <v>916</v>
      </c>
      <c r="D103" s="20" t="s">
        <v>919</v>
      </c>
      <c r="E103" s="20" t="s">
        <v>1014</v>
      </c>
      <c r="F103" s="359" t="s">
        <v>102</v>
      </c>
      <c r="G103" s="360"/>
      <c r="H103" s="11">
        <v>-40952.400000000001</v>
      </c>
      <c r="I103" s="11">
        <v>-40992.06</v>
      </c>
      <c r="J103" s="336">
        <v>-44606.613471322002</v>
      </c>
      <c r="K103" s="130">
        <v>-20058.98</v>
      </c>
      <c r="L103" s="142">
        <v>-30000</v>
      </c>
      <c r="O103" s="88">
        <f t="shared" si="19"/>
        <v>-14606.613471322002</v>
      </c>
      <c r="P103" s="123">
        <f t="shared" si="20"/>
        <v>0.67254601202324571</v>
      </c>
      <c r="Q103" s="88">
        <f t="shared" si="21"/>
        <v>-10992.059999999998</v>
      </c>
      <c r="R103" s="123">
        <f t="shared" si="22"/>
        <v>0.73184904588839894</v>
      </c>
      <c r="S103" s="88">
        <f t="shared" si="25"/>
        <v>9941.02</v>
      </c>
      <c r="T103" s="124">
        <f t="shared" si="26"/>
        <v>1.4955895065451983</v>
      </c>
      <c r="U103" s="88">
        <f t="shared" si="27"/>
        <v>-20933.079999999998</v>
      </c>
      <c r="V103" s="124">
        <f t="shared" si="28"/>
        <v>0.48933817914981587</v>
      </c>
      <c r="W103" s="157">
        <f t="shared" si="23"/>
        <v>11</v>
      </c>
    </row>
    <row r="104" spans="1:23" ht="11.25" customHeight="1" x14ac:dyDescent="0.25">
      <c r="A104" s="42" t="s">
        <v>1010</v>
      </c>
      <c r="B104" s="282">
        <f t="shared" si="24"/>
        <v>11</v>
      </c>
      <c r="C104" s="27" t="s">
        <v>916</v>
      </c>
      <c r="D104" s="28" t="s">
        <v>919</v>
      </c>
      <c r="E104" s="28" t="s">
        <v>917</v>
      </c>
      <c r="F104" s="359" t="s">
        <v>103</v>
      </c>
      <c r="G104" s="360"/>
      <c r="H104" s="11">
        <v>-15134109.130000001</v>
      </c>
      <c r="I104" s="11">
        <v>-16162505.449999999</v>
      </c>
      <c r="J104" s="336">
        <v>-16500000</v>
      </c>
      <c r="K104" s="130">
        <v>-17013816.289999999</v>
      </c>
      <c r="L104" s="142">
        <f>-17481385-572125</f>
        <v>-18053510</v>
      </c>
      <c r="O104" s="88">
        <f t="shared" si="19"/>
        <v>1553510</v>
      </c>
      <c r="P104" s="123">
        <f t="shared" si="20"/>
        <v>1.0941521212121212</v>
      </c>
      <c r="Q104" s="88">
        <f t="shared" si="21"/>
        <v>1891004.5500000007</v>
      </c>
      <c r="R104" s="123">
        <f t="shared" si="22"/>
        <v>1.1169994686683926</v>
      </c>
      <c r="S104" s="88">
        <f t="shared" si="25"/>
        <v>1039693.7100000009</v>
      </c>
      <c r="T104" s="124">
        <f t="shared" si="26"/>
        <v>1.061108789014672</v>
      </c>
      <c r="U104" s="88">
        <f t="shared" si="27"/>
        <v>851310.83999999985</v>
      </c>
      <c r="V104" s="124">
        <f t="shared" si="28"/>
        <v>1.0526719599652168</v>
      </c>
      <c r="W104" s="157">
        <f t="shared" si="23"/>
        <v>11</v>
      </c>
    </row>
    <row r="105" spans="1:23" ht="11.25" customHeight="1" x14ac:dyDescent="0.25">
      <c r="A105" s="42" t="s">
        <v>1011</v>
      </c>
      <c r="B105" s="282">
        <f t="shared" si="24"/>
        <v>11</v>
      </c>
      <c r="C105" s="27" t="s">
        <v>916</v>
      </c>
      <c r="D105" s="28" t="s">
        <v>919</v>
      </c>
      <c r="E105" s="28" t="s">
        <v>917</v>
      </c>
      <c r="F105" s="359" t="s">
        <v>104</v>
      </c>
      <c r="G105" s="360"/>
      <c r="H105" s="11">
        <v>-1878991.71</v>
      </c>
      <c r="I105" s="11">
        <v>-2107509.66</v>
      </c>
      <c r="J105" s="336">
        <v>-1800000</v>
      </c>
      <c r="K105" s="130">
        <v>-1681071.34</v>
      </c>
      <c r="L105" s="142">
        <v>-1759764</v>
      </c>
      <c r="O105" s="88">
        <f t="shared" si="19"/>
        <v>-40236</v>
      </c>
      <c r="P105" s="123">
        <f t="shared" si="20"/>
        <v>0.97764666666666666</v>
      </c>
      <c r="Q105" s="88">
        <f t="shared" si="21"/>
        <v>-347745.66000000015</v>
      </c>
      <c r="R105" s="123">
        <f t="shared" si="22"/>
        <v>0.83499688442709197</v>
      </c>
      <c r="S105" s="88">
        <f t="shared" si="25"/>
        <v>78692.659999999916</v>
      </c>
      <c r="T105" s="124">
        <f t="shared" si="26"/>
        <v>1.0468110175502723</v>
      </c>
      <c r="U105" s="88">
        <f t="shared" si="27"/>
        <v>-426438.32000000007</v>
      </c>
      <c r="V105" s="124">
        <f t="shared" si="28"/>
        <v>0.79765771512525352</v>
      </c>
      <c r="W105" s="157">
        <f t="shared" si="23"/>
        <v>11</v>
      </c>
    </row>
    <row r="106" spans="1:23" ht="11.25" customHeight="1" x14ac:dyDescent="0.25">
      <c r="A106" s="42" t="s">
        <v>1012</v>
      </c>
      <c r="B106" s="282">
        <f t="shared" si="24"/>
        <v>11</v>
      </c>
      <c r="C106" s="27" t="s">
        <v>916</v>
      </c>
      <c r="D106" s="28" t="s">
        <v>923</v>
      </c>
      <c r="E106" s="28" t="s">
        <v>917</v>
      </c>
      <c r="F106" s="359" t="s">
        <v>105</v>
      </c>
      <c r="G106" s="360"/>
      <c r="H106" s="11">
        <v>-214565.5</v>
      </c>
      <c r="I106" s="11">
        <v>-346106.17</v>
      </c>
      <c r="J106" s="336">
        <v>-329999.99999999302</v>
      </c>
      <c r="K106" s="130">
        <v>-454382.14</v>
      </c>
      <c r="L106" s="142">
        <v>-458000</v>
      </c>
      <c r="O106" s="88">
        <f t="shared" si="19"/>
        <v>128000.00000000698</v>
      </c>
      <c r="P106" s="123">
        <f t="shared" si="20"/>
        <v>1.3878787878788172</v>
      </c>
      <c r="Q106" s="88">
        <f t="shared" si="21"/>
        <v>111893.83000000002</v>
      </c>
      <c r="R106" s="123">
        <f t="shared" si="22"/>
        <v>1.3232933697772566</v>
      </c>
      <c r="S106" s="88">
        <f t="shared" si="25"/>
        <v>3617.859999999986</v>
      </c>
      <c r="T106" s="124">
        <f t="shared" si="26"/>
        <v>1.0079621527377813</v>
      </c>
      <c r="U106" s="88">
        <f t="shared" si="27"/>
        <v>108275.97000000003</v>
      </c>
      <c r="V106" s="124">
        <f t="shared" si="28"/>
        <v>1.3128403345135398</v>
      </c>
      <c r="W106" s="157">
        <f t="shared" si="23"/>
        <v>11</v>
      </c>
    </row>
    <row r="107" spans="1:23" ht="11.25" customHeight="1" x14ac:dyDescent="0.25">
      <c r="A107" s="42" t="s">
        <v>1013</v>
      </c>
      <c r="B107" s="282">
        <f t="shared" si="24"/>
        <v>11</v>
      </c>
      <c r="C107" s="27" t="s">
        <v>916</v>
      </c>
      <c r="D107" s="28" t="s">
        <v>919</v>
      </c>
      <c r="E107" s="28" t="s">
        <v>917</v>
      </c>
      <c r="F107" s="359" t="s">
        <v>106</v>
      </c>
      <c r="G107" s="360"/>
      <c r="H107" s="11">
        <v>-1243780.82</v>
      </c>
      <c r="I107" s="11">
        <v>-1330713.81</v>
      </c>
      <c r="J107" s="336">
        <v>-1350000</v>
      </c>
      <c r="K107" s="130">
        <v>-1464075.77</v>
      </c>
      <c r="L107" s="142">
        <v>-1553813</v>
      </c>
      <c r="O107" s="88">
        <f t="shared" si="19"/>
        <v>203813</v>
      </c>
      <c r="P107" s="123">
        <f t="shared" si="20"/>
        <v>1.1509725925925927</v>
      </c>
      <c r="Q107" s="88">
        <f t="shared" si="21"/>
        <v>223099.18999999994</v>
      </c>
      <c r="R107" s="123">
        <f t="shared" si="22"/>
        <v>1.1676537722262008</v>
      </c>
      <c r="S107" s="88">
        <f t="shared" si="25"/>
        <v>89737.229999999981</v>
      </c>
      <c r="T107" s="124">
        <f t="shared" si="26"/>
        <v>1.0612927498964073</v>
      </c>
      <c r="U107" s="88">
        <f t="shared" si="27"/>
        <v>133361.95999999996</v>
      </c>
      <c r="V107" s="124">
        <f t="shared" si="28"/>
        <v>1.1002183632557325</v>
      </c>
      <c r="W107" s="157">
        <f t="shared" si="23"/>
        <v>11</v>
      </c>
    </row>
    <row r="108" spans="1:23" ht="11.25" customHeight="1" x14ac:dyDescent="0.25">
      <c r="A108" s="26" t="s">
        <v>1015</v>
      </c>
      <c r="B108" s="282">
        <f t="shared" si="24"/>
        <v>7</v>
      </c>
      <c r="C108" s="26"/>
      <c r="D108" s="23"/>
      <c r="E108" s="23"/>
      <c r="F108" s="361" t="s">
        <v>107</v>
      </c>
      <c r="G108" s="362"/>
      <c r="H108" s="25">
        <f t="shared" ref="H108:L108" si="30">SUM(H109:H128)</f>
        <v>-40559961.160000019</v>
      </c>
      <c r="I108" s="25">
        <f t="shared" si="30"/>
        <v>-45196020.040000007</v>
      </c>
      <c r="J108" s="129">
        <f t="shared" si="30"/>
        <v>-44058221.011721864</v>
      </c>
      <c r="K108" s="342">
        <f t="shared" si="30"/>
        <v>-42490536.909999982</v>
      </c>
      <c r="L108" s="140">
        <f t="shared" si="30"/>
        <v>-43207590</v>
      </c>
      <c r="O108" s="88">
        <f t="shared" si="19"/>
        <v>-850631.01172186434</v>
      </c>
      <c r="P108" s="123">
        <f t="shared" si="20"/>
        <v>0.98069302408974823</v>
      </c>
      <c r="Q108" s="88">
        <f t="shared" si="21"/>
        <v>-1988430.0400000066</v>
      </c>
      <c r="R108" s="123">
        <f t="shared" si="22"/>
        <v>0.95600431103800343</v>
      </c>
      <c r="S108" s="88">
        <f t="shared" si="25"/>
        <v>717053.09000001848</v>
      </c>
      <c r="T108" s="124">
        <f t="shared" si="26"/>
        <v>1.0168755949476191</v>
      </c>
      <c r="U108" s="88">
        <f t="shared" si="27"/>
        <v>-2705483.130000025</v>
      </c>
      <c r="V108" s="124">
        <f t="shared" si="28"/>
        <v>0.94013890763820396</v>
      </c>
      <c r="W108" s="157">
        <f t="shared" si="23"/>
        <v>7</v>
      </c>
    </row>
    <row r="109" spans="1:23" ht="11.25" customHeight="1" x14ac:dyDescent="0.25">
      <c r="A109" s="42" t="s">
        <v>1016</v>
      </c>
      <c r="B109" s="282">
        <f t="shared" si="24"/>
        <v>11</v>
      </c>
      <c r="C109" s="28" t="s">
        <v>916</v>
      </c>
      <c r="D109" s="28" t="s">
        <v>923</v>
      </c>
      <c r="E109" s="28" t="s">
        <v>917</v>
      </c>
      <c r="F109" s="359" t="s">
        <v>108</v>
      </c>
      <c r="G109" s="360"/>
      <c r="H109" s="11">
        <v>-1163112.8799999999</v>
      </c>
      <c r="I109" s="11">
        <v>-2094620.86</v>
      </c>
      <c r="J109" s="336">
        <v>-1100400</v>
      </c>
      <c r="K109" s="130">
        <v>-1087584.8799999999</v>
      </c>
      <c r="L109" s="142">
        <v>-1200000</v>
      </c>
      <c r="O109" s="88">
        <f t="shared" si="19"/>
        <v>99600</v>
      </c>
      <c r="P109" s="123">
        <f t="shared" si="20"/>
        <v>1.0905125408942202</v>
      </c>
      <c r="Q109" s="88">
        <f t="shared" si="21"/>
        <v>-894620.8600000001</v>
      </c>
      <c r="R109" s="123">
        <f t="shared" si="22"/>
        <v>0.57289604191185217</v>
      </c>
      <c r="S109" s="88">
        <f t="shared" si="25"/>
        <v>112415.12000000011</v>
      </c>
      <c r="T109" s="124">
        <f t="shared" si="26"/>
        <v>1.1033621578115358</v>
      </c>
      <c r="U109" s="88">
        <f t="shared" si="27"/>
        <v>-1007035.9800000002</v>
      </c>
      <c r="V109" s="124">
        <f t="shared" si="28"/>
        <v>0.51922756082931387</v>
      </c>
      <c r="W109" s="157">
        <f t="shared" si="23"/>
        <v>11</v>
      </c>
    </row>
    <row r="110" spans="1:23" ht="11.25" customHeight="1" x14ac:dyDescent="0.25">
      <c r="A110" s="42" t="s">
        <v>1017</v>
      </c>
      <c r="B110" s="282">
        <f t="shared" si="24"/>
        <v>11</v>
      </c>
      <c r="C110" s="28" t="s">
        <v>916</v>
      </c>
      <c r="D110" s="28" t="s">
        <v>917</v>
      </c>
      <c r="E110" s="28" t="s">
        <v>917</v>
      </c>
      <c r="F110" s="359" t="s">
        <v>109</v>
      </c>
      <c r="G110" s="360"/>
      <c r="H110" s="11">
        <v>-2455306.7599999998</v>
      </c>
      <c r="I110" s="11">
        <v>-2678306.7000000002</v>
      </c>
      <c r="J110" s="336">
        <v>-2676714.8982581999</v>
      </c>
      <c r="K110" s="130">
        <v>-2628341.8899999899</v>
      </c>
      <c r="L110" s="143">
        <v>-2640590</v>
      </c>
      <c r="M110" s="105" t="s">
        <v>1736</v>
      </c>
      <c r="N110" s="105"/>
      <c r="O110" s="88">
        <f t="shared" si="19"/>
        <v>-36124.898258199915</v>
      </c>
      <c r="P110" s="123">
        <f t="shared" si="20"/>
        <v>0.98650401718849201</v>
      </c>
      <c r="Q110" s="88">
        <f t="shared" si="21"/>
        <v>-37716.700000000186</v>
      </c>
      <c r="R110" s="123">
        <f t="shared" si="22"/>
        <v>0.98591770688547353</v>
      </c>
      <c r="S110" s="88">
        <f t="shared" si="25"/>
        <v>12248.110000010114</v>
      </c>
      <c r="T110" s="124">
        <f t="shared" si="26"/>
        <v>1.004660013998411</v>
      </c>
      <c r="U110" s="88">
        <f t="shared" si="27"/>
        <v>-49964.8100000103</v>
      </c>
      <c r="V110" s="124">
        <f t="shared" si="28"/>
        <v>0.98134462718552351</v>
      </c>
      <c r="W110" s="157">
        <f t="shared" si="23"/>
        <v>11</v>
      </c>
    </row>
    <row r="111" spans="1:23" ht="11.25" customHeight="1" x14ac:dyDescent="0.25">
      <c r="A111" s="42" t="s">
        <v>1018</v>
      </c>
      <c r="B111" s="282">
        <f t="shared" si="24"/>
        <v>11</v>
      </c>
      <c r="C111" s="27" t="s">
        <v>916</v>
      </c>
      <c r="D111" s="28" t="s">
        <v>923</v>
      </c>
      <c r="E111" s="28" t="s">
        <v>917</v>
      </c>
      <c r="F111" s="359" t="s">
        <v>110</v>
      </c>
      <c r="G111" s="360"/>
      <c r="H111" s="11">
        <v>-11910197.289999999</v>
      </c>
      <c r="I111" s="11">
        <v>-12882614.84</v>
      </c>
      <c r="J111" s="336">
        <v>-12499626.2861221</v>
      </c>
      <c r="K111" s="130">
        <v>-12894259.84</v>
      </c>
      <c r="L111" s="143">
        <v>-13236000</v>
      </c>
      <c r="O111" s="88">
        <f t="shared" si="19"/>
        <v>736373.71387789957</v>
      </c>
      <c r="P111" s="123">
        <f t="shared" si="20"/>
        <v>1.0589116583985771</v>
      </c>
      <c r="Q111" s="88">
        <f t="shared" si="21"/>
        <v>353385.16000000015</v>
      </c>
      <c r="R111" s="123">
        <f t="shared" si="22"/>
        <v>1.0274311670719793</v>
      </c>
      <c r="S111" s="88">
        <f t="shared" si="25"/>
        <v>341740.16000000015</v>
      </c>
      <c r="T111" s="124">
        <f t="shared" si="26"/>
        <v>1.0265032785317285</v>
      </c>
      <c r="U111" s="88">
        <f t="shared" si="27"/>
        <v>11645</v>
      </c>
      <c r="V111" s="124">
        <f t="shared" si="28"/>
        <v>1.000903931394723</v>
      </c>
      <c r="W111" s="157">
        <f t="shared" si="23"/>
        <v>11</v>
      </c>
    </row>
    <row r="112" spans="1:23" ht="11.25" customHeight="1" x14ac:dyDescent="0.25">
      <c r="A112" s="42" t="s">
        <v>1019</v>
      </c>
      <c r="B112" s="282">
        <f t="shared" si="24"/>
        <v>11</v>
      </c>
      <c r="C112" s="28" t="s">
        <v>916</v>
      </c>
      <c r="D112" s="28" t="s">
        <v>917</v>
      </c>
      <c r="E112" s="28" t="s">
        <v>917</v>
      </c>
      <c r="F112" s="359" t="s">
        <v>111</v>
      </c>
      <c r="G112" s="360"/>
      <c r="H112" s="11">
        <v>-5326103.4500000104</v>
      </c>
      <c r="I112" s="11">
        <v>-5652314.1600000001</v>
      </c>
      <c r="J112" s="336">
        <v>-5369893.2784323003</v>
      </c>
      <c r="K112" s="130">
        <v>-5691688.6200000001</v>
      </c>
      <c r="L112" s="143">
        <v>-5781000</v>
      </c>
      <c r="M112" s="105" t="s">
        <v>1737</v>
      </c>
      <c r="N112" s="105"/>
      <c r="O112" s="88">
        <f t="shared" si="19"/>
        <v>411106.72156769969</v>
      </c>
      <c r="P112" s="123">
        <f t="shared" si="20"/>
        <v>1.0765577079937274</v>
      </c>
      <c r="Q112" s="88">
        <f t="shared" si="21"/>
        <v>128685.83999999985</v>
      </c>
      <c r="R112" s="123">
        <f t="shared" si="22"/>
        <v>1.0227669298551516</v>
      </c>
      <c r="S112" s="88">
        <f t="shared" si="25"/>
        <v>89311.379999999888</v>
      </c>
      <c r="T112" s="124">
        <f t="shared" si="26"/>
        <v>1.0156915435756919</v>
      </c>
      <c r="U112" s="88">
        <f t="shared" si="27"/>
        <v>39374.459999999963</v>
      </c>
      <c r="V112" s="124">
        <f t="shared" si="28"/>
        <v>1.0069660777666329</v>
      </c>
      <c r="W112" s="157">
        <f t="shared" si="23"/>
        <v>11</v>
      </c>
    </row>
    <row r="113" spans="1:23" ht="11.25" customHeight="1" x14ac:dyDescent="0.25">
      <c r="A113" s="42" t="s">
        <v>1020</v>
      </c>
      <c r="B113" s="282">
        <f t="shared" si="24"/>
        <v>11</v>
      </c>
      <c r="C113" s="20" t="s">
        <v>916</v>
      </c>
      <c r="D113" s="20" t="s">
        <v>923</v>
      </c>
      <c r="E113" s="20" t="s">
        <v>1648</v>
      </c>
      <c r="F113" s="359" t="s">
        <v>112</v>
      </c>
      <c r="G113" s="360"/>
      <c r="H113" s="11">
        <v>-1074839.1399999999</v>
      </c>
      <c r="I113" s="11">
        <v>-1530055.78</v>
      </c>
      <c r="J113" s="336">
        <v>-1499979.77380611</v>
      </c>
      <c r="K113" s="130">
        <v>-1790817.92</v>
      </c>
      <c r="L113" s="142">
        <f>-1600000-3000</f>
        <v>-1603000</v>
      </c>
      <c r="M113" s="105" t="s">
        <v>1738</v>
      </c>
      <c r="N113" s="105"/>
      <c r="O113" s="88">
        <f t="shared" si="19"/>
        <v>103020.22619388998</v>
      </c>
      <c r="P113" s="123">
        <f t="shared" si="20"/>
        <v>1.0686810769004453</v>
      </c>
      <c r="Q113" s="88">
        <f t="shared" si="21"/>
        <v>72944.219999999972</v>
      </c>
      <c r="R113" s="123">
        <f t="shared" si="22"/>
        <v>1.0476742227005607</v>
      </c>
      <c r="S113" s="88">
        <f t="shared" si="25"/>
        <v>-187817.91999999993</v>
      </c>
      <c r="T113" s="124">
        <f t="shared" si="26"/>
        <v>0.89512171064269896</v>
      </c>
      <c r="U113" s="88">
        <f t="shared" si="27"/>
        <v>260762.1399999999</v>
      </c>
      <c r="V113" s="124">
        <f t="shared" si="28"/>
        <v>1.1704265579128101</v>
      </c>
      <c r="W113" s="157">
        <f t="shared" si="23"/>
        <v>11</v>
      </c>
    </row>
    <row r="114" spans="1:23" ht="11.25" customHeight="1" x14ac:dyDescent="0.25">
      <c r="A114" s="42" t="s">
        <v>1021</v>
      </c>
      <c r="B114" s="282">
        <f t="shared" si="24"/>
        <v>11</v>
      </c>
      <c r="C114" s="33"/>
      <c r="D114" s="33"/>
      <c r="E114" s="33"/>
      <c r="F114" s="359" t="s">
        <v>113</v>
      </c>
      <c r="G114" s="360"/>
      <c r="H114" s="11">
        <v>-1178419</v>
      </c>
      <c r="I114" s="11">
        <v>-1190194.1100000001</v>
      </c>
      <c r="J114" s="336">
        <v>-1200000</v>
      </c>
      <c r="K114" s="130">
        <v>-296073</v>
      </c>
      <c r="L114" s="141"/>
      <c r="M114" s="105" t="s">
        <v>1739</v>
      </c>
      <c r="N114" s="105"/>
      <c r="O114" s="88">
        <f t="shared" si="19"/>
        <v>-1200000</v>
      </c>
      <c r="P114" s="123">
        <f t="shared" si="20"/>
        <v>0</v>
      </c>
      <c r="Q114" s="88">
        <f t="shared" si="21"/>
        <v>-1190194.1100000001</v>
      </c>
      <c r="R114" s="123">
        <f t="shared" si="22"/>
        <v>0</v>
      </c>
      <c r="S114" s="88">
        <f t="shared" si="25"/>
        <v>-296073</v>
      </c>
      <c r="T114" s="124">
        <f t="shared" si="26"/>
        <v>0</v>
      </c>
      <c r="U114" s="88">
        <f t="shared" si="27"/>
        <v>-894121.1100000001</v>
      </c>
      <c r="V114" s="124">
        <f t="shared" si="28"/>
        <v>0.2487602631473281</v>
      </c>
      <c r="W114" s="157">
        <f t="shared" si="23"/>
        <v>11</v>
      </c>
    </row>
    <row r="115" spans="1:23" ht="11.25" customHeight="1" x14ac:dyDescent="0.25">
      <c r="A115" s="42" t="s">
        <v>1022</v>
      </c>
      <c r="B115" s="282">
        <f t="shared" si="24"/>
        <v>11</v>
      </c>
      <c r="C115" s="28" t="s">
        <v>916</v>
      </c>
      <c r="D115" s="28" t="s">
        <v>923</v>
      </c>
      <c r="E115" s="28" t="s">
        <v>1037</v>
      </c>
      <c r="F115" s="359" t="s">
        <v>114</v>
      </c>
      <c r="G115" s="360"/>
      <c r="H115" s="11">
        <v>-316206.67</v>
      </c>
      <c r="I115" s="11">
        <v>-307104.88</v>
      </c>
      <c r="J115" s="336">
        <v>-300000</v>
      </c>
      <c r="K115" s="130">
        <v>-100161.12</v>
      </c>
      <c r="L115" s="142">
        <v>-150000</v>
      </c>
      <c r="O115" s="88">
        <f t="shared" si="19"/>
        <v>-150000</v>
      </c>
      <c r="P115" s="123">
        <f t="shared" si="20"/>
        <v>0.5</v>
      </c>
      <c r="Q115" s="88">
        <f t="shared" si="21"/>
        <v>-157104.88</v>
      </c>
      <c r="R115" s="123">
        <f t="shared" si="22"/>
        <v>0.488432485996315</v>
      </c>
      <c r="S115" s="88">
        <f t="shared" si="25"/>
        <v>49838.880000000005</v>
      </c>
      <c r="T115" s="124">
        <f t="shared" si="26"/>
        <v>1.4975870876843231</v>
      </c>
      <c r="U115" s="88">
        <f t="shared" si="27"/>
        <v>-206943.76</v>
      </c>
      <c r="V115" s="124">
        <f t="shared" si="28"/>
        <v>0.32614629894516817</v>
      </c>
      <c r="W115" s="157">
        <f t="shared" si="23"/>
        <v>11</v>
      </c>
    </row>
    <row r="116" spans="1:23" ht="11.25" customHeight="1" x14ac:dyDescent="0.25">
      <c r="A116" s="42" t="s">
        <v>1023</v>
      </c>
      <c r="B116" s="282">
        <f t="shared" si="24"/>
        <v>11</v>
      </c>
      <c r="C116" s="28" t="s">
        <v>916</v>
      </c>
      <c r="D116" s="28" t="s">
        <v>923</v>
      </c>
      <c r="E116" s="28" t="s">
        <v>1037</v>
      </c>
      <c r="F116" s="359" t="s">
        <v>115</v>
      </c>
      <c r="G116" s="360"/>
      <c r="H116" s="11">
        <v>-869138.85</v>
      </c>
      <c r="I116" s="11">
        <v>-1192111.68</v>
      </c>
      <c r="J116" s="336">
        <v>-2100000</v>
      </c>
      <c r="K116" s="130">
        <v>-1466733.8399999901</v>
      </c>
      <c r="L116" s="142">
        <v>-2186000</v>
      </c>
      <c r="O116" s="88">
        <f t="shared" si="19"/>
        <v>86000</v>
      </c>
      <c r="P116" s="123">
        <f t="shared" si="20"/>
        <v>1.0409523809523809</v>
      </c>
      <c r="Q116" s="88">
        <f t="shared" si="21"/>
        <v>993888.32000000007</v>
      </c>
      <c r="R116" s="123">
        <f t="shared" si="22"/>
        <v>1.8337208138083172</v>
      </c>
      <c r="S116" s="88">
        <f t="shared" si="25"/>
        <v>719266.16000000993</v>
      </c>
      <c r="T116" s="124">
        <f t="shared" si="26"/>
        <v>1.4903862857626675</v>
      </c>
      <c r="U116" s="88">
        <f t="shared" si="27"/>
        <v>274622.15999999014</v>
      </c>
      <c r="V116" s="124">
        <f t="shared" si="28"/>
        <v>1.2303661348238699</v>
      </c>
      <c r="W116" s="157">
        <f t="shared" si="23"/>
        <v>11</v>
      </c>
    </row>
    <row r="117" spans="1:23" ht="11.25" customHeight="1" x14ac:dyDescent="0.25">
      <c r="A117" s="42" t="s">
        <v>1024</v>
      </c>
      <c r="B117" s="282">
        <f t="shared" si="24"/>
        <v>11</v>
      </c>
      <c r="C117" s="28" t="s">
        <v>916</v>
      </c>
      <c r="D117" s="28" t="s">
        <v>923</v>
      </c>
      <c r="E117" s="28" t="s">
        <v>1037</v>
      </c>
      <c r="F117" s="359" t="s">
        <v>116</v>
      </c>
      <c r="G117" s="360"/>
      <c r="H117" s="11">
        <v>-192923.83</v>
      </c>
      <c r="I117" s="11">
        <v>-166275.57999999999</v>
      </c>
      <c r="J117" s="336">
        <v>-150000</v>
      </c>
      <c r="K117" s="130">
        <v>-204722.230000001</v>
      </c>
      <c r="L117" s="142">
        <v>-200000</v>
      </c>
      <c r="O117" s="88">
        <f t="shared" si="19"/>
        <v>50000</v>
      </c>
      <c r="P117" s="123">
        <f t="shared" si="20"/>
        <v>1.3333333333333333</v>
      </c>
      <c r="Q117" s="88">
        <f t="shared" si="21"/>
        <v>33724.420000000013</v>
      </c>
      <c r="R117" s="123">
        <f t="shared" si="22"/>
        <v>1.2028224469281659</v>
      </c>
      <c r="S117" s="88">
        <f t="shared" si="25"/>
        <v>-4722.230000001</v>
      </c>
      <c r="T117" s="124">
        <f t="shared" si="26"/>
        <v>0.97693347713142353</v>
      </c>
      <c r="U117" s="88">
        <f t="shared" si="27"/>
        <v>38446.650000001013</v>
      </c>
      <c r="V117" s="124">
        <f t="shared" si="28"/>
        <v>1.23122246814596</v>
      </c>
      <c r="W117" s="157">
        <f t="shared" si="23"/>
        <v>11</v>
      </c>
    </row>
    <row r="118" spans="1:23" ht="11.25" customHeight="1" x14ac:dyDescent="0.25">
      <c r="A118" s="42" t="s">
        <v>1025</v>
      </c>
      <c r="B118" s="282">
        <f t="shared" si="24"/>
        <v>11</v>
      </c>
      <c r="C118" s="28" t="s">
        <v>916</v>
      </c>
      <c r="D118" s="28" t="s">
        <v>923</v>
      </c>
      <c r="E118" s="28" t="s">
        <v>917</v>
      </c>
      <c r="F118" s="359" t="s">
        <v>117</v>
      </c>
      <c r="G118" s="360"/>
      <c r="H118" s="11">
        <v>-73163.490000000005</v>
      </c>
      <c r="I118" s="11">
        <v>-125355.68</v>
      </c>
      <c r="J118" s="336">
        <v>-79999.9999999711</v>
      </c>
      <c r="K118" s="130">
        <v>-183175.67</v>
      </c>
      <c r="L118" s="142">
        <v>-80000</v>
      </c>
      <c r="M118" s="105" t="s">
        <v>1740</v>
      </c>
      <c r="N118" s="105"/>
      <c r="O118" s="88">
        <f t="shared" si="19"/>
        <v>2.8900103643536568E-8</v>
      </c>
      <c r="P118" s="123">
        <f t="shared" si="20"/>
        <v>1.0000000000003613</v>
      </c>
      <c r="Q118" s="88">
        <f t="shared" si="21"/>
        <v>-45355.679999999993</v>
      </c>
      <c r="R118" s="123">
        <f t="shared" si="22"/>
        <v>0.63818408547582373</v>
      </c>
      <c r="S118" s="88">
        <f t="shared" si="25"/>
        <v>-103175.67000000001</v>
      </c>
      <c r="T118" s="124">
        <f t="shared" si="26"/>
        <v>0.43673922415569705</v>
      </c>
      <c r="U118" s="88">
        <f t="shared" si="27"/>
        <v>57819.99000000002</v>
      </c>
      <c r="V118" s="124">
        <f t="shared" si="28"/>
        <v>1.461247468004641</v>
      </c>
      <c r="W118" s="157">
        <f t="shared" si="23"/>
        <v>11</v>
      </c>
    </row>
    <row r="119" spans="1:23" ht="11.25" customHeight="1" x14ac:dyDescent="0.25">
      <c r="A119" s="42" t="s">
        <v>1026</v>
      </c>
      <c r="B119" s="282">
        <f t="shared" si="24"/>
        <v>11</v>
      </c>
      <c r="C119" s="28" t="s">
        <v>916</v>
      </c>
      <c r="D119" s="28" t="s">
        <v>917</v>
      </c>
      <c r="E119" s="28" t="s">
        <v>917</v>
      </c>
      <c r="F119" s="359" t="s">
        <v>118</v>
      </c>
      <c r="G119" s="360"/>
      <c r="H119" s="11">
        <v>-3030124.82</v>
      </c>
      <c r="I119" s="11">
        <v>-3244072.02</v>
      </c>
      <c r="J119" s="336">
        <v>-3366765.5632302398</v>
      </c>
      <c r="K119" s="130">
        <v>-3091354.12</v>
      </c>
      <c r="L119" s="143">
        <v>-3147000</v>
      </c>
      <c r="O119" s="88">
        <f t="shared" si="19"/>
        <v>-219765.56323023979</v>
      </c>
      <c r="P119" s="123">
        <f t="shared" si="20"/>
        <v>0.93472501749739123</v>
      </c>
      <c r="Q119" s="88">
        <f t="shared" si="21"/>
        <v>-97072.020000000019</v>
      </c>
      <c r="R119" s="123">
        <f t="shared" si="22"/>
        <v>0.9700771069811206</v>
      </c>
      <c r="S119" s="88">
        <f t="shared" si="25"/>
        <v>55645.879999999888</v>
      </c>
      <c r="T119" s="124">
        <f t="shared" si="26"/>
        <v>1.0180004871133947</v>
      </c>
      <c r="U119" s="88">
        <f t="shared" si="27"/>
        <v>-152717.89999999991</v>
      </c>
      <c r="V119" s="124">
        <f t="shared" si="28"/>
        <v>0.95292401060812459</v>
      </c>
      <c r="W119" s="157">
        <f t="shared" si="23"/>
        <v>11</v>
      </c>
    </row>
    <row r="120" spans="1:23" ht="11.25" customHeight="1" x14ac:dyDescent="0.25">
      <c r="A120" s="42" t="s">
        <v>1027</v>
      </c>
      <c r="B120" s="282">
        <f t="shared" si="24"/>
        <v>11</v>
      </c>
      <c r="C120" s="20" t="s">
        <v>1654</v>
      </c>
      <c r="D120" s="20" t="s">
        <v>919</v>
      </c>
      <c r="E120" s="20" t="s">
        <v>1655</v>
      </c>
      <c r="F120" s="359" t="s">
        <v>119</v>
      </c>
      <c r="G120" s="360"/>
      <c r="H120" s="11">
        <v>-2617019.5699999998</v>
      </c>
      <c r="I120" s="11">
        <v>-3060266.65</v>
      </c>
      <c r="J120" s="336">
        <v>-2899821.03027773</v>
      </c>
      <c r="K120" s="130">
        <v>-2132181.12</v>
      </c>
      <c r="L120" s="142">
        <f>-2900000+900000</f>
        <v>-2000000</v>
      </c>
      <c r="M120" s="105" t="s">
        <v>1707</v>
      </c>
      <c r="N120" s="105"/>
      <c r="O120" s="88">
        <f t="shared" si="19"/>
        <v>-899821.03027772997</v>
      </c>
      <c r="P120" s="123">
        <f t="shared" si="20"/>
        <v>0.68969773621113795</v>
      </c>
      <c r="Q120" s="88">
        <f t="shared" si="21"/>
        <v>-1060266.6499999999</v>
      </c>
      <c r="R120" s="123">
        <f t="shared" si="22"/>
        <v>0.65353782161433549</v>
      </c>
      <c r="S120" s="88">
        <f t="shared" si="25"/>
        <v>-132181.12000000011</v>
      </c>
      <c r="T120" s="124">
        <f t="shared" si="26"/>
        <v>0.93800661737404367</v>
      </c>
      <c r="U120" s="88">
        <f t="shared" si="27"/>
        <v>-928085.5299999998</v>
      </c>
      <c r="V120" s="124">
        <f t="shared" si="28"/>
        <v>0.69673050222600708</v>
      </c>
      <c r="W120" s="157">
        <f t="shared" si="23"/>
        <v>11</v>
      </c>
    </row>
    <row r="121" spans="1:23" ht="11.25" customHeight="1" x14ac:dyDescent="0.25">
      <c r="A121" s="42" t="s">
        <v>1028</v>
      </c>
      <c r="B121" s="282">
        <f t="shared" si="24"/>
        <v>11</v>
      </c>
      <c r="C121" s="28" t="s">
        <v>916</v>
      </c>
      <c r="D121" s="28" t="s">
        <v>923</v>
      </c>
      <c r="E121" s="28" t="s">
        <v>1037</v>
      </c>
      <c r="F121" s="359" t="s">
        <v>120</v>
      </c>
      <c r="G121" s="360"/>
      <c r="H121" s="11">
        <v>-740884.46</v>
      </c>
      <c r="I121" s="11">
        <v>-579770.76</v>
      </c>
      <c r="J121" s="336">
        <v>-399999.99999999598</v>
      </c>
      <c r="K121" s="130">
        <v>-347437.57</v>
      </c>
      <c r="L121" s="142">
        <v>-450000</v>
      </c>
      <c r="O121" s="88">
        <f t="shared" si="19"/>
        <v>50000.000000004016</v>
      </c>
      <c r="P121" s="123">
        <f t="shared" si="20"/>
        <v>1.1250000000000113</v>
      </c>
      <c r="Q121" s="88">
        <f t="shared" si="21"/>
        <v>-129770.76000000001</v>
      </c>
      <c r="R121" s="123">
        <f t="shared" si="22"/>
        <v>0.77616884300960609</v>
      </c>
      <c r="S121" s="88">
        <f t="shared" si="25"/>
        <v>102562.43</v>
      </c>
      <c r="T121" s="124">
        <f t="shared" si="26"/>
        <v>1.295196716923849</v>
      </c>
      <c r="U121" s="88">
        <f t="shared" si="27"/>
        <v>-232333.19</v>
      </c>
      <c r="V121" s="124">
        <f t="shared" si="28"/>
        <v>0.59926714827770888</v>
      </c>
      <c r="W121" s="157">
        <f t="shared" si="23"/>
        <v>11</v>
      </c>
    </row>
    <row r="122" spans="1:23" ht="11.25" customHeight="1" x14ac:dyDescent="0.25">
      <c r="A122" s="42" t="s">
        <v>1029</v>
      </c>
      <c r="B122" s="282">
        <f t="shared" si="24"/>
        <v>11</v>
      </c>
      <c r="C122" s="28" t="s">
        <v>916</v>
      </c>
      <c r="D122" s="28" t="s">
        <v>923</v>
      </c>
      <c r="E122" s="28" t="s">
        <v>1037</v>
      </c>
      <c r="F122" s="359" t="s">
        <v>121</v>
      </c>
      <c r="G122" s="360"/>
      <c r="H122" s="11">
        <v>-244487.8</v>
      </c>
      <c r="I122" s="11">
        <v>-612253.15</v>
      </c>
      <c r="J122" s="336">
        <v>-450000</v>
      </c>
      <c r="K122" s="130">
        <v>-304102.42</v>
      </c>
      <c r="L122" s="142">
        <v>-300000</v>
      </c>
      <c r="O122" s="88">
        <f t="shared" si="19"/>
        <v>-150000</v>
      </c>
      <c r="P122" s="123">
        <f t="shared" si="20"/>
        <v>0.66666666666666663</v>
      </c>
      <c r="Q122" s="88">
        <f t="shared" si="21"/>
        <v>-312253.15000000002</v>
      </c>
      <c r="R122" s="123">
        <f t="shared" si="22"/>
        <v>0.48999339570568151</v>
      </c>
      <c r="S122" s="88">
        <f t="shared" si="25"/>
        <v>-4102.4199999999837</v>
      </c>
      <c r="T122" s="124">
        <f t="shared" si="26"/>
        <v>0.98650974234272792</v>
      </c>
      <c r="U122" s="88">
        <f t="shared" si="27"/>
        <v>-308150.73000000004</v>
      </c>
      <c r="V122" s="124">
        <f t="shared" si="28"/>
        <v>0.49669392472705115</v>
      </c>
      <c r="W122" s="157">
        <f t="shared" si="23"/>
        <v>11</v>
      </c>
    </row>
    <row r="123" spans="1:23" ht="11.25" customHeight="1" x14ac:dyDescent="0.25">
      <c r="A123" s="42" t="s">
        <v>1030</v>
      </c>
      <c r="B123" s="282">
        <f t="shared" si="24"/>
        <v>11</v>
      </c>
      <c r="C123" s="28" t="s">
        <v>916</v>
      </c>
      <c r="D123" s="28" t="s">
        <v>923</v>
      </c>
      <c r="E123" s="28" t="s">
        <v>1037</v>
      </c>
      <c r="F123" s="359" t="s">
        <v>122</v>
      </c>
      <c r="G123" s="360"/>
      <c r="H123" s="11">
        <v>-41235.96</v>
      </c>
      <c r="I123" s="11">
        <v>-123444.04</v>
      </c>
      <c r="J123" s="336">
        <v>-99999.999999972002</v>
      </c>
      <c r="K123" s="130">
        <v>-66051.08</v>
      </c>
      <c r="L123" s="142">
        <v>-120000</v>
      </c>
      <c r="O123" s="88">
        <f t="shared" si="19"/>
        <v>20000.000000027998</v>
      </c>
      <c r="P123" s="123">
        <f t="shared" si="20"/>
        <v>1.2000000000003359</v>
      </c>
      <c r="Q123" s="88">
        <f t="shared" si="21"/>
        <v>-3444.0399999999936</v>
      </c>
      <c r="R123" s="123">
        <f t="shared" si="22"/>
        <v>0.97210039464035691</v>
      </c>
      <c r="S123" s="88">
        <f t="shared" si="25"/>
        <v>53948.92</v>
      </c>
      <c r="T123" s="124">
        <f t="shared" si="26"/>
        <v>1.8167757438636885</v>
      </c>
      <c r="U123" s="88">
        <f t="shared" si="27"/>
        <v>-57392.959999999992</v>
      </c>
      <c r="V123" s="124">
        <f t="shared" si="28"/>
        <v>0.53506900778684818</v>
      </c>
      <c r="W123" s="157">
        <f t="shared" si="23"/>
        <v>11</v>
      </c>
    </row>
    <row r="124" spans="1:23" ht="11.25" customHeight="1" x14ac:dyDescent="0.25">
      <c r="A124" s="42" t="s">
        <v>1031</v>
      </c>
      <c r="B124" s="282">
        <f t="shared" si="24"/>
        <v>11</v>
      </c>
      <c r="C124" s="28" t="s">
        <v>916</v>
      </c>
      <c r="D124" s="28" t="s">
        <v>923</v>
      </c>
      <c r="E124" s="28" t="s">
        <v>1037</v>
      </c>
      <c r="F124" s="359" t="s">
        <v>123</v>
      </c>
      <c r="G124" s="360"/>
      <c r="H124" s="11">
        <v>-139102.19</v>
      </c>
      <c r="I124" s="11">
        <v>-166962.64000000001</v>
      </c>
      <c r="J124" s="336">
        <v>-180000</v>
      </c>
      <c r="K124" s="130">
        <v>-156495.16</v>
      </c>
      <c r="L124" s="142">
        <v>-180000</v>
      </c>
      <c r="O124" s="88">
        <f t="shared" si="19"/>
        <v>0</v>
      </c>
      <c r="P124" s="123">
        <f t="shared" si="20"/>
        <v>1</v>
      </c>
      <c r="Q124" s="88">
        <f t="shared" si="21"/>
        <v>13037.359999999986</v>
      </c>
      <c r="R124" s="123">
        <f t="shared" si="22"/>
        <v>1.0780854926587169</v>
      </c>
      <c r="S124" s="88">
        <f t="shared" si="25"/>
        <v>23504.839999999997</v>
      </c>
      <c r="T124" s="124">
        <f t="shared" si="26"/>
        <v>1.1501953159445952</v>
      </c>
      <c r="U124" s="88">
        <f t="shared" si="27"/>
        <v>-10467.48000000001</v>
      </c>
      <c r="V124" s="124">
        <f t="shared" si="28"/>
        <v>0.93730645370724841</v>
      </c>
      <c r="W124" s="157">
        <f t="shared" si="23"/>
        <v>11</v>
      </c>
    </row>
    <row r="125" spans="1:23" ht="11.25" customHeight="1" x14ac:dyDescent="0.25">
      <c r="A125" s="42" t="s">
        <v>1032</v>
      </c>
      <c r="B125" s="282">
        <f t="shared" si="24"/>
        <v>11</v>
      </c>
      <c r="C125" s="28" t="s">
        <v>916</v>
      </c>
      <c r="D125" s="28" t="s">
        <v>917</v>
      </c>
      <c r="E125" s="28" t="s">
        <v>917</v>
      </c>
      <c r="F125" s="359" t="s">
        <v>124</v>
      </c>
      <c r="G125" s="360"/>
      <c r="H125" s="11">
        <v>-7797358.54</v>
      </c>
      <c r="I125" s="11">
        <v>-8146648.4200000102</v>
      </c>
      <c r="J125" s="336">
        <v>-8200020.1815952603</v>
      </c>
      <c r="K125" s="130">
        <v>-8368195.1399999904</v>
      </c>
      <c r="L125" s="143">
        <v>-8309000</v>
      </c>
      <c r="M125" s="105" t="s">
        <v>1741</v>
      </c>
      <c r="N125" s="105"/>
      <c r="O125" s="88">
        <f t="shared" si="19"/>
        <v>108979.81840473972</v>
      </c>
      <c r="P125" s="123">
        <f t="shared" si="20"/>
        <v>1.013290189047259</v>
      </c>
      <c r="Q125" s="88">
        <f t="shared" si="21"/>
        <v>162351.57999998983</v>
      </c>
      <c r="R125" s="123">
        <f t="shared" si="22"/>
        <v>1.0199286346519407</v>
      </c>
      <c r="S125" s="88">
        <f t="shared" si="25"/>
        <v>-59195.139999990351</v>
      </c>
      <c r="T125" s="124">
        <f t="shared" si="26"/>
        <v>0.99292617595435395</v>
      </c>
      <c r="U125" s="88">
        <f t="shared" si="27"/>
        <v>221546.71999998018</v>
      </c>
      <c r="V125" s="124">
        <f t="shared" si="28"/>
        <v>1.027194830140955</v>
      </c>
      <c r="W125" s="157">
        <f t="shared" si="23"/>
        <v>11</v>
      </c>
    </row>
    <row r="126" spans="1:23" ht="11.25" customHeight="1" x14ac:dyDescent="0.25">
      <c r="A126" s="42" t="s">
        <v>1033</v>
      </c>
      <c r="B126" s="282">
        <f t="shared" si="24"/>
        <v>11</v>
      </c>
      <c r="C126" s="28" t="s">
        <v>916</v>
      </c>
      <c r="D126" s="28" t="s">
        <v>919</v>
      </c>
      <c r="E126" s="28" t="s">
        <v>1649</v>
      </c>
      <c r="F126" s="359" t="s">
        <v>125</v>
      </c>
      <c r="G126" s="360"/>
      <c r="H126" s="11">
        <v>-1388594.84</v>
      </c>
      <c r="I126" s="11">
        <v>-1440965.31</v>
      </c>
      <c r="J126" s="336">
        <v>-1480000</v>
      </c>
      <c r="K126" s="130">
        <v>-1676266.88</v>
      </c>
      <c r="L126" s="142">
        <v>-1620000</v>
      </c>
      <c r="O126" s="88">
        <f t="shared" si="19"/>
        <v>140000</v>
      </c>
      <c r="P126" s="123">
        <f t="shared" si="20"/>
        <v>1.0945945945945945</v>
      </c>
      <c r="Q126" s="88">
        <f t="shared" si="21"/>
        <v>179034.68999999994</v>
      </c>
      <c r="R126" s="123">
        <f t="shared" si="22"/>
        <v>1.1242463567703791</v>
      </c>
      <c r="S126" s="88">
        <f t="shared" si="25"/>
        <v>-56266.879999999888</v>
      </c>
      <c r="T126" s="124">
        <f t="shared" si="26"/>
        <v>0.96643322094391082</v>
      </c>
      <c r="U126" s="88">
        <f t="shared" si="27"/>
        <v>235301.56999999983</v>
      </c>
      <c r="V126" s="124">
        <f t="shared" si="28"/>
        <v>1.1632944029721297</v>
      </c>
      <c r="W126" s="157">
        <f t="shared" si="23"/>
        <v>11</v>
      </c>
    </row>
    <row r="127" spans="1:23" ht="11.25" customHeight="1" x14ac:dyDescent="0.25">
      <c r="A127" s="42" t="s">
        <v>1034</v>
      </c>
      <c r="B127" s="282">
        <f t="shared" si="24"/>
        <v>11</v>
      </c>
      <c r="C127" s="28" t="s">
        <v>916</v>
      </c>
      <c r="D127" s="28" t="s">
        <v>923</v>
      </c>
      <c r="E127" s="28" t="s">
        <v>1037</v>
      </c>
      <c r="F127" s="359" t="s">
        <v>1677</v>
      </c>
      <c r="G127" s="360"/>
      <c r="H127" s="11">
        <v>-599</v>
      </c>
      <c r="I127" s="11">
        <v>-1710</v>
      </c>
      <c r="J127" s="336">
        <v>-4999.999999996</v>
      </c>
      <c r="K127" s="130">
        <v>-4162.0200000000004</v>
      </c>
      <c r="L127" s="142">
        <v>-5000</v>
      </c>
      <c r="O127" s="88">
        <f t="shared" si="19"/>
        <v>3.9999576983973384E-9</v>
      </c>
      <c r="P127" s="123">
        <f t="shared" si="20"/>
        <v>1.0000000000008</v>
      </c>
      <c r="Q127" s="88">
        <f t="shared" si="21"/>
        <v>3290</v>
      </c>
      <c r="R127" s="123">
        <f t="shared" si="22"/>
        <v>2.9239766081871346</v>
      </c>
      <c r="S127" s="88">
        <f t="shared" si="25"/>
        <v>837.97999999999956</v>
      </c>
      <c r="T127" s="124">
        <f t="shared" si="26"/>
        <v>1.2013397340714362</v>
      </c>
      <c r="U127" s="88">
        <f t="shared" si="27"/>
        <v>2452.0200000000004</v>
      </c>
      <c r="V127" s="124">
        <f t="shared" si="28"/>
        <v>2.4339298245614036</v>
      </c>
      <c r="W127" s="157">
        <f t="shared" si="23"/>
        <v>11</v>
      </c>
    </row>
    <row r="128" spans="1:23" ht="11.25" customHeight="1" x14ac:dyDescent="0.25">
      <c r="A128" s="42" t="s">
        <v>1035</v>
      </c>
      <c r="B128" s="282">
        <f t="shared" si="24"/>
        <v>11</v>
      </c>
      <c r="C128" s="28"/>
      <c r="D128" s="28"/>
      <c r="E128" s="28"/>
      <c r="F128" s="359" t="s">
        <v>126</v>
      </c>
      <c r="G128" s="360"/>
      <c r="H128" s="11">
        <v>-1142.6199999999999</v>
      </c>
      <c r="I128" s="11">
        <v>-972.78</v>
      </c>
      <c r="J128" s="336">
        <v>0</v>
      </c>
      <c r="K128" s="130">
        <v>-732.39</v>
      </c>
      <c r="L128" s="141">
        <v>0</v>
      </c>
      <c r="O128" s="88">
        <f t="shared" si="19"/>
        <v>0</v>
      </c>
      <c r="P128" s="123" t="str">
        <f t="shared" si="20"/>
        <v/>
      </c>
      <c r="Q128" s="88">
        <f t="shared" si="21"/>
        <v>-972.78</v>
      </c>
      <c r="R128" s="123">
        <f t="shared" si="22"/>
        <v>0</v>
      </c>
      <c r="S128" s="88">
        <f t="shared" si="25"/>
        <v>-732.39</v>
      </c>
      <c r="T128" s="124">
        <f t="shared" si="26"/>
        <v>0</v>
      </c>
      <c r="U128" s="88">
        <f t="shared" si="27"/>
        <v>-240.39</v>
      </c>
      <c r="V128" s="124">
        <f t="shared" si="28"/>
        <v>0.75288348855856413</v>
      </c>
      <c r="W128" s="157">
        <f t="shared" si="23"/>
        <v>11</v>
      </c>
    </row>
    <row r="129" spans="1:23" ht="11.25" customHeight="1" x14ac:dyDescent="0.25">
      <c r="A129" s="26" t="s">
        <v>1038</v>
      </c>
      <c r="B129" s="282">
        <f t="shared" si="24"/>
        <v>7</v>
      </c>
      <c r="C129" s="26"/>
      <c r="D129" s="23"/>
      <c r="E129" s="23"/>
      <c r="F129" s="361" t="s">
        <v>127</v>
      </c>
      <c r="G129" s="362"/>
      <c r="H129" s="25">
        <f t="shared" ref="H129:L129" si="31">SUM(H130:H138)</f>
        <v>-13353536.449999999</v>
      </c>
      <c r="I129" s="25">
        <f t="shared" si="31"/>
        <v>-12971235.859999999</v>
      </c>
      <c r="J129" s="129">
        <f t="shared" si="31"/>
        <v>-12705743.030643739</v>
      </c>
      <c r="K129" s="342">
        <f t="shared" si="31"/>
        <v>-11618590.139999997</v>
      </c>
      <c r="L129" s="140">
        <f t="shared" si="31"/>
        <v>-13453960</v>
      </c>
      <c r="O129" s="88">
        <f t="shared" si="19"/>
        <v>748216.96935626119</v>
      </c>
      <c r="P129" s="123">
        <f t="shared" si="20"/>
        <v>1.0588880923808792</v>
      </c>
      <c r="Q129" s="88">
        <f t="shared" si="21"/>
        <v>482724.1400000006</v>
      </c>
      <c r="R129" s="123">
        <f t="shared" si="22"/>
        <v>1.0372149689674983</v>
      </c>
      <c r="S129" s="88">
        <f t="shared" si="25"/>
        <v>1835369.8600000031</v>
      </c>
      <c r="T129" s="124">
        <f t="shared" si="26"/>
        <v>1.1579683798020612</v>
      </c>
      <c r="U129" s="88">
        <f t="shared" si="27"/>
        <v>-1352645.7200000025</v>
      </c>
      <c r="V129" s="124">
        <f t="shared" si="28"/>
        <v>0.89571959568083881</v>
      </c>
      <c r="W129" s="157">
        <f t="shared" si="23"/>
        <v>7</v>
      </c>
    </row>
    <row r="130" spans="1:23" ht="11.25" customHeight="1" x14ac:dyDescent="0.25">
      <c r="A130" s="42" t="s">
        <v>1039</v>
      </c>
      <c r="B130" s="282">
        <f t="shared" si="24"/>
        <v>11</v>
      </c>
      <c r="C130" s="28" t="s">
        <v>916</v>
      </c>
      <c r="D130" s="28" t="s">
        <v>923</v>
      </c>
      <c r="E130" s="28" t="s">
        <v>1037</v>
      </c>
      <c r="F130" s="359" t="s">
        <v>128</v>
      </c>
      <c r="G130" s="360"/>
      <c r="H130" s="11">
        <v>-226270.35</v>
      </c>
      <c r="I130" s="11">
        <v>-169543.03</v>
      </c>
      <c r="J130" s="336">
        <v>-139999.999999992</v>
      </c>
      <c r="K130" s="130">
        <v>-245312.05</v>
      </c>
      <c r="L130" s="142">
        <v>0</v>
      </c>
      <c r="O130" s="88">
        <f t="shared" si="19"/>
        <v>-139999.999999992</v>
      </c>
      <c r="P130" s="123">
        <f t="shared" si="20"/>
        <v>0</v>
      </c>
      <c r="Q130" s="88">
        <f t="shared" si="21"/>
        <v>-169543.03</v>
      </c>
      <c r="R130" s="123">
        <f t="shared" si="22"/>
        <v>0</v>
      </c>
      <c r="S130" s="88">
        <f t="shared" si="25"/>
        <v>-245312.05</v>
      </c>
      <c r="T130" s="124">
        <f t="shared" si="26"/>
        <v>0</v>
      </c>
      <c r="U130" s="88">
        <f t="shared" si="27"/>
        <v>75769.01999999999</v>
      </c>
      <c r="V130" s="124">
        <f t="shared" si="28"/>
        <v>1.4469014149387327</v>
      </c>
      <c r="W130" s="157">
        <f t="shared" si="23"/>
        <v>11</v>
      </c>
    </row>
    <row r="131" spans="1:23" ht="11.25" customHeight="1" x14ac:dyDescent="0.25">
      <c r="A131" s="42" t="s">
        <v>1040</v>
      </c>
      <c r="B131" s="282">
        <f t="shared" si="24"/>
        <v>11</v>
      </c>
      <c r="C131" s="28" t="s">
        <v>916</v>
      </c>
      <c r="D131" s="28" t="s">
        <v>923</v>
      </c>
      <c r="E131" s="28" t="s">
        <v>917</v>
      </c>
      <c r="F131" s="359" t="s">
        <v>129</v>
      </c>
      <c r="G131" s="360"/>
      <c r="H131" s="11">
        <v>-816468.25</v>
      </c>
      <c r="I131" s="11">
        <v>-936945.32</v>
      </c>
      <c r="J131" s="336">
        <v>-799999.99999990396</v>
      </c>
      <c r="K131" s="130">
        <v>-900935.679999999</v>
      </c>
      <c r="L131" s="142">
        <v>-850000</v>
      </c>
      <c r="O131" s="88">
        <f t="shared" si="19"/>
        <v>50000.000000096043</v>
      </c>
      <c r="P131" s="123">
        <f t="shared" si="20"/>
        <v>1.0625000000001275</v>
      </c>
      <c r="Q131" s="88">
        <f t="shared" si="21"/>
        <v>-86945.319999999949</v>
      </c>
      <c r="R131" s="123">
        <f t="shared" si="22"/>
        <v>0.90720342143338739</v>
      </c>
      <c r="S131" s="88">
        <f t="shared" si="25"/>
        <v>-50935.679999999003</v>
      </c>
      <c r="T131" s="124">
        <f t="shared" si="26"/>
        <v>0.94346357777727363</v>
      </c>
      <c r="U131" s="88">
        <f t="shared" si="27"/>
        <v>-36009.640000000945</v>
      </c>
      <c r="V131" s="124">
        <f t="shared" si="28"/>
        <v>0.96156697810284064</v>
      </c>
      <c r="W131" s="157">
        <f t="shared" si="23"/>
        <v>11</v>
      </c>
    </row>
    <row r="132" spans="1:23" ht="11.25" customHeight="1" x14ac:dyDescent="0.25">
      <c r="A132" s="42" t="s">
        <v>1041</v>
      </c>
      <c r="B132" s="282">
        <f t="shared" si="24"/>
        <v>11</v>
      </c>
      <c r="C132" s="20" t="s">
        <v>916</v>
      </c>
      <c r="D132" s="20" t="s">
        <v>920</v>
      </c>
      <c r="E132" s="20" t="s">
        <v>1053</v>
      </c>
      <c r="F132" s="359" t="s">
        <v>130</v>
      </c>
      <c r="G132" s="360"/>
      <c r="H132" s="11">
        <v>-1236600.17</v>
      </c>
      <c r="I132" s="11">
        <v>-1020629.45</v>
      </c>
      <c r="J132" s="336">
        <v>-299999.999999939</v>
      </c>
      <c r="K132" s="130">
        <v>-1107065.08</v>
      </c>
      <c r="L132" s="142">
        <v>-100000</v>
      </c>
      <c r="O132" s="88">
        <f t="shared" si="19"/>
        <v>-199999.999999939</v>
      </c>
      <c r="P132" s="123">
        <f t="shared" si="20"/>
        <v>0.33333333333340109</v>
      </c>
      <c r="Q132" s="88">
        <f t="shared" si="21"/>
        <v>-920629.45</v>
      </c>
      <c r="R132" s="123">
        <f t="shared" si="22"/>
        <v>9.7978752229812699E-2</v>
      </c>
      <c r="S132" s="88">
        <f t="shared" si="25"/>
        <v>-1007065.0800000001</v>
      </c>
      <c r="T132" s="124">
        <f t="shared" si="26"/>
        <v>9.0328926281370917E-2</v>
      </c>
      <c r="U132" s="88">
        <f t="shared" si="27"/>
        <v>86435.630000000121</v>
      </c>
      <c r="V132" s="124">
        <f t="shared" si="28"/>
        <v>1.0846885517559777</v>
      </c>
      <c r="W132" s="157">
        <f t="shared" si="23"/>
        <v>11</v>
      </c>
    </row>
    <row r="133" spans="1:23" ht="11.25" customHeight="1" x14ac:dyDescent="0.25">
      <c r="A133" s="42" t="s">
        <v>1042</v>
      </c>
      <c r="B133" s="282">
        <f t="shared" si="24"/>
        <v>11</v>
      </c>
      <c r="C133" s="20" t="s">
        <v>916</v>
      </c>
      <c r="D133" s="20" t="s">
        <v>920</v>
      </c>
      <c r="E133" s="20" t="s">
        <v>1053</v>
      </c>
      <c r="F133" s="359" t="s">
        <v>131</v>
      </c>
      <c r="G133" s="360"/>
      <c r="H133" s="11">
        <v>-8855827.8900000006</v>
      </c>
      <c r="I133" s="11">
        <v>-7500087.1900000004</v>
      </c>
      <c r="J133" s="336">
        <v>-7099999.9999997597</v>
      </c>
      <c r="K133" s="130">
        <v>-7551047.7999999998</v>
      </c>
      <c r="L133" s="142">
        <f>-100000-7500000</f>
        <v>-7600000</v>
      </c>
      <c r="M133" s="105" t="s">
        <v>1710</v>
      </c>
      <c r="N133" s="105"/>
      <c r="O133" s="88">
        <f t="shared" si="19"/>
        <v>500000.00000024028</v>
      </c>
      <c r="P133" s="123">
        <f t="shared" si="20"/>
        <v>1.0704225352113039</v>
      </c>
      <c r="Q133" s="88">
        <f t="shared" si="21"/>
        <v>99912.80999999959</v>
      </c>
      <c r="R133" s="123">
        <f t="shared" si="22"/>
        <v>1.0133215531325042</v>
      </c>
      <c r="S133" s="88">
        <f t="shared" si="25"/>
        <v>48952.200000000186</v>
      </c>
      <c r="T133" s="124">
        <f t="shared" si="26"/>
        <v>1.0064828354019955</v>
      </c>
      <c r="U133" s="88">
        <f t="shared" si="27"/>
        <v>50960.609999999404</v>
      </c>
      <c r="V133" s="124">
        <f t="shared" si="28"/>
        <v>1.0067946690097078</v>
      </c>
      <c r="W133" s="157">
        <f t="shared" si="23"/>
        <v>11</v>
      </c>
    </row>
    <row r="134" spans="1:23" ht="11.25" customHeight="1" x14ac:dyDescent="0.25">
      <c r="A134" s="42" t="s">
        <v>1043</v>
      </c>
      <c r="B134" s="282">
        <f t="shared" si="24"/>
        <v>11</v>
      </c>
      <c r="C134" s="20" t="s">
        <v>1654</v>
      </c>
      <c r="D134" s="20" t="s">
        <v>919</v>
      </c>
      <c r="E134" s="20" t="s">
        <v>1655</v>
      </c>
      <c r="F134" s="359" t="s">
        <v>132</v>
      </c>
      <c r="G134" s="360"/>
      <c r="H134" s="11">
        <v>-1278998.45</v>
      </c>
      <c r="I134" s="11">
        <v>-2215890.1</v>
      </c>
      <c r="J134" s="336">
        <v>-2616095.8245606702</v>
      </c>
      <c r="K134" s="130">
        <v>-590962.03</v>
      </c>
      <c r="L134" s="142">
        <v>-2753960</v>
      </c>
      <c r="O134" s="88">
        <f t="shared" si="19"/>
        <v>137864.17543932982</v>
      </c>
      <c r="P134" s="123">
        <f t="shared" si="20"/>
        <v>1.0526984425207291</v>
      </c>
      <c r="Q134" s="88">
        <f t="shared" si="21"/>
        <v>538069.89999999991</v>
      </c>
      <c r="R134" s="123">
        <f t="shared" si="22"/>
        <v>1.2428233692636652</v>
      </c>
      <c r="S134" s="88">
        <f t="shared" si="25"/>
        <v>2162997.9699999997</v>
      </c>
      <c r="T134" s="124">
        <f t="shared" si="26"/>
        <v>4.6601301948282527</v>
      </c>
      <c r="U134" s="88">
        <f t="shared" si="27"/>
        <v>-1624928.07</v>
      </c>
      <c r="V134" s="124">
        <f t="shared" si="28"/>
        <v>0.26669284275425031</v>
      </c>
      <c r="W134" s="157">
        <f t="shared" si="23"/>
        <v>11</v>
      </c>
    </row>
    <row r="135" spans="1:23" ht="11.25" customHeight="1" x14ac:dyDescent="0.25">
      <c r="A135" s="42" t="s">
        <v>1044</v>
      </c>
      <c r="B135" s="282">
        <f t="shared" si="24"/>
        <v>11</v>
      </c>
      <c r="C135" s="20" t="s">
        <v>916</v>
      </c>
      <c r="D135" s="20" t="s">
        <v>923</v>
      </c>
      <c r="E135" s="20" t="s">
        <v>1648</v>
      </c>
      <c r="F135" s="359" t="s">
        <v>133</v>
      </c>
      <c r="G135" s="360"/>
      <c r="H135" s="11">
        <v>-504853.28999999899</v>
      </c>
      <c r="I135" s="11">
        <v>-634431.09999999905</v>
      </c>
      <c r="J135" s="336">
        <v>-599647.20608354697</v>
      </c>
      <c r="K135" s="130">
        <v>-698300.77999999898</v>
      </c>
      <c r="L135" s="142">
        <v>-700000</v>
      </c>
      <c r="O135" s="88">
        <f t="shared" si="19"/>
        <v>100352.79391645303</v>
      </c>
      <c r="P135" s="123">
        <f t="shared" si="20"/>
        <v>1.1673530584289442</v>
      </c>
      <c r="Q135" s="88">
        <f t="shared" si="21"/>
        <v>65568.900000000955</v>
      </c>
      <c r="R135" s="123">
        <f t="shared" si="22"/>
        <v>1.103350702700421</v>
      </c>
      <c r="S135" s="88">
        <f t="shared" si="25"/>
        <v>1699.2200000010198</v>
      </c>
      <c r="T135" s="124">
        <f t="shared" si="26"/>
        <v>1.0024333640297538</v>
      </c>
      <c r="U135" s="88">
        <f t="shared" si="27"/>
        <v>63869.679999999935</v>
      </c>
      <c r="V135" s="124">
        <f t="shared" si="28"/>
        <v>1.1006723661560729</v>
      </c>
      <c r="W135" s="157">
        <f t="shared" si="23"/>
        <v>11</v>
      </c>
    </row>
    <row r="136" spans="1:23" ht="11.25" customHeight="1" x14ac:dyDescent="0.25">
      <c r="A136" s="42" t="s">
        <v>1045</v>
      </c>
      <c r="B136" s="282">
        <f t="shared" si="24"/>
        <v>11</v>
      </c>
      <c r="C136" s="20" t="s">
        <v>916</v>
      </c>
      <c r="D136" s="20" t="s">
        <v>919</v>
      </c>
      <c r="E136" s="20" t="s">
        <v>918</v>
      </c>
      <c r="F136" s="373" t="s">
        <v>134</v>
      </c>
      <c r="G136" s="374"/>
      <c r="H136" s="11">
        <v>-434518.05</v>
      </c>
      <c r="I136" s="11">
        <v>-492176.67</v>
      </c>
      <c r="J136" s="336">
        <v>-449999.99999998801</v>
      </c>
      <c r="K136" s="130">
        <v>-458358.19</v>
      </c>
      <c r="L136" s="142">
        <v>-550000</v>
      </c>
      <c r="M136" s="105" t="s">
        <v>1695</v>
      </c>
      <c r="N136" s="105"/>
      <c r="O136" s="88">
        <f t="shared" si="19"/>
        <v>100000.00000001199</v>
      </c>
      <c r="P136" s="123">
        <f t="shared" si="20"/>
        <v>1.2222222222222547</v>
      </c>
      <c r="Q136" s="88">
        <f t="shared" si="21"/>
        <v>57823.330000000016</v>
      </c>
      <c r="R136" s="123">
        <f t="shared" si="22"/>
        <v>1.1174849063853434</v>
      </c>
      <c r="S136" s="88">
        <f t="shared" si="25"/>
        <v>91641.81</v>
      </c>
      <c r="T136" s="124">
        <f t="shared" si="26"/>
        <v>1.1999349242565078</v>
      </c>
      <c r="U136" s="88">
        <f t="shared" si="27"/>
        <v>-33818.479999999981</v>
      </c>
      <c r="V136" s="124">
        <f t="shared" si="28"/>
        <v>0.93128792553291895</v>
      </c>
      <c r="W136" s="157">
        <f t="shared" si="23"/>
        <v>11</v>
      </c>
    </row>
    <row r="137" spans="1:23" ht="11.25" customHeight="1" x14ac:dyDescent="0.25">
      <c r="A137" s="55" t="s">
        <v>1046</v>
      </c>
      <c r="B137" s="282">
        <f t="shared" si="24"/>
        <v>11</v>
      </c>
      <c r="C137" s="160" t="s">
        <v>916</v>
      </c>
      <c r="D137" s="160" t="s">
        <v>919</v>
      </c>
      <c r="E137" s="160" t="s">
        <v>1649</v>
      </c>
      <c r="F137" s="375" t="s">
        <v>1678</v>
      </c>
      <c r="G137" s="376"/>
      <c r="H137" s="54">
        <v>0</v>
      </c>
      <c r="I137" s="54">
        <v>0</v>
      </c>
      <c r="J137" s="136">
        <v>-699999.99999993597</v>
      </c>
      <c r="K137" s="161">
        <v>-66608.53</v>
      </c>
      <c r="L137" s="153">
        <v>-900000</v>
      </c>
      <c r="M137" s="168" t="s">
        <v>1724</v>
      </c>
      <c r="N137" s="168"/>
      <c r="O137" s="88">
        <f t="shared" si="19"/>
        <v>200000.00000006403</v>
      </c>
      <c r="P137" s="123">
        <f t="shared" si="20"/>
        <v>1.2857142857144033</v>
      </c>
      <c r="Q137" s="88">
        <f t="shared" si="21"/>
        <v>900000</v>
      </c>
      <c r="R137" s="123" t="str">
        <f t="shared" si="22"/>
        <v/>
      </c>
      <c r="S137" s="88">
        <f t="shared" si="25"/>
        <v>833391.47</v>
      </c>
      <c r="T137" s="124">
        <f t="shared" si="26"/>
        <v>13.511782950321829</v>
      </c>
      <c r="U137" s="88">
        <f t="shared" si="27"/>
        <v>66608.53</v>
      </c>
      <c r="V137" s="124" t="str">
        <f t="shared" si="28"/>
        <v/>
      </c>
      <c r="W137" s="157">
        <f t="shared" si="23"/>
        <v>11</v>
      </c>
    </row>
    <row r="138" spans="1:23" ht="11.25" customHeight="1" x14ac:dyDescent="0.25">
      <c r="A138" s="42" t="s">
        <v>1047</v>
      </c>
      <c r="B138" s="282">
        <f t="shared" si="24"/>
        <v>11</v>
      </c>
      <c r="C138" s="20"/>
      <c r="D138" s="20"/>
      <c r="E138" s="20"/>
      <c r="F138" s="359" t="s">
        <v>135</v>
      </c>
      <c r="G138" s="360"/>
      <c r="H138" s="11">
        <v>0</v>
      </c>
      <c r="I138" s="11">
        <v>-1533</v>
      </c>
      <c r="J138" s="336">
        <v>0</v>
      </c>
      <c r="K138" s="130">
        <v>0</v>
      </c>
      <c r="L138" s="141"/>
      <c r="O138" s="88">
        <f t="shared" si="19"/>
        <v>0</v>
      </c>
      <c r="P138" s="123" t="str">
        <f t="shared" si="20"/>
        <v/>
      </c>
      <c r="Q138" s="88">
        <f t="shared" si="21"/>
        <v>-1533</v>
      </c>
      <c r="R138" s="123">
        <f t="shared" si="22"/>
        <v>0</v>
      </c>
      <c r="S138" s="88">
        <f t="shared" si="25"/>
        <v>0</v>
      </c>
      <c r="T138" s="124" t="str">
        <f t="shared" si="26"/>
        <v/>
      </c>
      <c r="U138" s="88">
        <f t="shared" si="27"/>
        <v>-1533</v>
      </c>
      <c r="V138" s="124">
        <f t="shared" si="28"/>
        <v>0</v>
      </c>
      <c r="W138" s="157">
        <f t="shared" si="23"/>
        <v>11</v>
      </c>
    </row>
    <row r="139" spans="1:23" ht="11.25" customHeight="1" x14ac:dyDescent="0.25">
      <c r="A139" s="26" t="s">
        <v>1048</v>
      </c>
      <c r="B139" s="282">
        <f t="shared" si="24"/>
        <v>7</v>
      </c>
      <c r="C139" s="26"/>
      <c r="D139" s="23"/>
      <c r="E139" s="23"/>
      <c r="F139" s="361" t="s">
        <v>136</v>
      </c>
      <c r="G139" s="362"/>
      <c r="H139" s="25">
        <f t="shared" ref="H139:L139" si="32">SUM(H140:H148)</f>
        <v>-30327520.59999999</v>
      </c>
      <c r="I139" s="25">
        <f t="shared" si="32"/>
        <v>-32999748.190000001</v>
      </c>
      <c r="J139" s="129">
        <f t="shared" si="32"/>
        <v>-32112701.835206844</v>
      </c>
      <c r="K139" s="342">
        <f t="shared" si="32"/>
        <v>-29514360.239999998</v>
      </c>
      <c r="L139" s="140">
        <f t="shared" si="32"/>
        <v>-28849705.999999981</v>
      </c>
      <c r="O139" s="88">
        <f t="shared" ref="O139:O202" si="33">-L139+J139</f>
        <v>-3262995.8352068625</v>
      </c>
      <c r="P139" s="123">
        <f t="shared" ref="P139:P202" si="34">IF(J139=0,"",L139/J139)</f>
        <v>0.89838924635019446</v>
      </c>
      <c r="Q139" s="88">
        <f t="shared" ref="Q139:Q202" si="35">-L139+I139</f>
        <v>-4150042.19000002</v>
      </c>
      <c r="R139" s="123">
        <f t="shared" ref="R139:R202" si="36">IF(I139=0,"",L139/I139)</f>
        <v>0.87424018613397725</v>
      </c>
      <c r="S139" s="88">
        <f t="shared" si="25"/>
        <v>-664654.24000001699</v>
      </c>
      <c r="T139" s="124">
        <f t="shared" si="26"/>
        <v>0.97748031010683301</v>
      </c>
      <c r="U139" s="88">
        <f t="shared" si="27"/>
        <v>-3485387.950000003</v>
      </c>
      <c r="V139" s="124">
        <f t="shared" si="28"/>
        <v>0.89438137739923151</v>
      </c>
      <c r="W139" s="157">
        <f t="shared" ref="W139:W202" si="37">LEN(A139)</f>
        <v>7</v>
      </c>
    </row>
    <row r="140" spans="1:23" ht="11.25" customHeight="1" x14ac:dyDescent="0.25">
      <c r="A140" s="42" t="s">
        <v>1049</v>
      </c>
      <c r="B140" s="282">
        <f t="shared" ref="B140:B203" si="38">LEN(A140)</f>
        <v>11</v>
      </c>
      <c r="C140" s="33"/>
      <c r="D140" s="33"/>
      <c r="E140" s="33"/>
      <c r="F140" s="359" t="s">
        <v>137</v>
      </c>
      <c r="G140" s="360"/>
      <c r="H140" s="11">
        <v>-3238794.12</v>
      </c>
      <c r="I140" s="11">
        <v>-1489714.86</v>
      </c>
      <c r="J140" s="336">
        <v>-2000000</v>
      </c>
      <c r="K140" s="130">
        <v>-293526.98</v>
      </c>
      <c r="L140" s="145">
        <v>-400000</v>
      </c>
      <c r="O140" s="88">
        <f t="shared" si="33"/>
        <v>-1600000</v>
      </c>
      <c r="P140" s="123">
        <f t="shared" si="34"/>
        <v>0.2</v>
      </c>
      <c r="Q140" s="88">
        <f t="shared" si="35"/>
        <v>-1089714.8600000001</v>
      </c>
      <c r="R140" s="123">
        <f t="shared" si="36"/>
        <v>0.26850775993467635</v>
      </c>
      <c r="S140" s="88">
        <f t="shared" ref="S140:S203" si="39">-L140+K140</f>
        <v>106473.02000000002</v>
      </c>
      <c r="T140" s="124">
        <f t="shared" si="26"/>
        <v>1.3627367405885484</v>
      </c>
      <c r="U140" s="88">
        <f t="shared" si="27"/>
        <v>-1196187.8800000001</v>
      </c>
      <c r="V140" s="124">
        <f t="shared" si="28"/>
        <v>0.19703567970047633</v>
      </c>
      <c r="W140" s="157">
        <f t="shared" si="37"/>
        <v>11</v>
      </c>
    </row>
    <row r="141" spans="1:23" ht="11.25" customHeight="1" x14ac:dyDescent="0.25">
      <c r="A141" s="42" t="s">
        <v>1050</v>
      </c>
      <c r="B141" s="282">
        <f t="shared" si="38"/>
        <v>11</v>
      </c>
      <c r="C141" s="20"/>
      <c r="D141" s="33"/>
      <c r="E141" s="33"/>
      <c r="F141" s="359" t="s">
        <v>138</v>
      </c>
      <c r="G141" s="360"/>
      <c r="H141" s="11">
        <v>-929</v>
      </c>
      <c r="I141" s="11">
        <v>0</v>
      </c>
      <c r="J141" s="336">
        <v>0</v>
      </c>
      <c r="K141" s="130">
        <v>-31780.2</v>
      </c>
      <c r="L141" s="159">
        <v>0</v>
      </c>
      <c r="O141" s="88">
        <f t="shared" si="33"/>
        <v>0</v>
      </c>
      <c r="P141" s="123" t="str">
        <f t="shared" si="34"/>
        <v/>
      </c>
      <c r="Q141" s="88">
        <f t="shared" si="35"/>
        <v>0</v>
      </c>
      <c r="R141" s="123" t="str">
        <f t="shared" si="36"/>
        <v/>
      </c>
      <c r="S141" s="88">
        <f t="shared" si="39"/>
        <v>-31780.2</v>
      </c>
      <c r="T141" s="124">
        <f t="shared" ref="T141:T204" si="40">IF(K141=0,"",L141/K141)</f>
        <v>0</v>
      </c>
      <c r="U141" s="88">
        <f t="shared" ref="U141:U204" si="41">-K141+I141</f>
        <v>31780.2</v>
      </c>
      <c r="V141" s="124" t="str">
        <f t="shared" ref="V141:V204" si="42">IF(I141=0,"",K141/I141)</f>
        <v/>
      </c>
      <c r="W141" s="157">
        <f t="shared" si="37"/>
        <v>11</v>
      </c>
    </row>
    <row r="142" spans="1:23" ht="11.25" customHeight="1" x14ac:dyDescent="0.25">
      <c r="A142" s="42" t="s">
        <v>1051</v>
      </c>
      <c r="B142" s="282">
        <f t="shared" si="38"/>
        <v>11</v>
      </c>
      <c r="C142" s="28" t="s">
        <v>916</v>
      </c>
      <c r="D142" s="28" t="s">
        <v>923</v>
      </c>
      <c r="E142" s="28" t="s">
        <v>1037</v>
      </c>
      <c r="F142" s="359" t="s">
        <v>139</v>
      </c>
      <c r="G142" s="360"/>
      <c r="H142" s="11">
        <v>-2592689.21999999</v>
      </c>
      <c r="I142" s="11">
        <v>-3654037.6600000099</v>
      </c>
      <c r="J142" s="336">
        <v>-2900000.0000000098</v>
      </c>
      <c r="K142" s="130">
        <v>-2164539.98</v>
      </c>
      <c r="L142" s="142">
        <v>-1000000</v>
      </c>
      <c r="M142" s="105" t="s">
        <v>1698</v>
      </c>
      <c r="N142" s="105"/>
      <c r="O142" s="88">
        <f t="shared" si="33"/>
        <v>-1900000.0000000098</v>
      </c>
      <c r="P142" s="123">
        <f t="shared" si="34"/>
        <v>0.34482758620689541</v>
      </c>
      <c r="Q142" s="88">
        <f t="shared" si="35"/>
        <v>-2654037.6600000099</v>
      </c>
      <c r="R142" s="123">
        <f t="shared" si="36"/>
        <v>0.27366986688363726</v>
      </c>
      <c r="S142" s="88">
        <f t="shared" si="39"/>
        <v>-1164539.98</v>
      </c>
      <c r="T142" s="124">
        <f t="shared" si="40"/>
        <v>0.46199192864989264</v>
      </c>
      <c r="U142" s="88">
        <f t="shared" si="41"/>
        <v>-1489497.6800000099</v>
      </c>
      <c r="V142" s="124">
        <f t="shared" si="42"/>
        <v>0.59236936819091079</v>
      </c>
      <c r="W142" s="157">
        <f t="shared" si="37"/>
        <v>11</v>
      </c>
    </row>
    <row r="143" spans="1:23" ht="11.25" customHeight="1" x14ac:dyDescent="0.25">
      <c r="A143" s="42" t="s">
        <v>1052</v>
      </c>
      <c r="B143" s="282">
        <f t="shared" si="38"/>
        <v>11</v>
      </c>
      <c r="C143" s="28" t="s">
        <v>916</v>
      </c>
      <c r="D143" s="28" t="s">
        <v>923</v>
      </c>
      <c r="E143" s="28" t="s">
        <v>1037</v>
      </c>
      <c r="F143" s="359" t="s">
        <v>140</v>
      </c>
      <c r="G143" s="360"/>
      <c r="H143" s="11">
        <v>-94187.940000000104</v>
      </c>
      <c r="I143" s="11">
        <v>-65961.8</v>
      </c>
      <c r="J143" s="336">
        <v>-63999.999999995998</v>
      </c>
      <c r="K143" s="130">
        <v>-145050.64000000001</v>
      </c>
      <c r="L143" s="142">
        <v>-125000</v>
      </c>
      <c r="O143" s="88">
        <f t="shared" si="33"/>
        <v>61000.000000004002</v>
      </c>
      <c r="P143" s="123">
        <f t="shared" si="34"/>
        <v>1.9531250000001221</v>
      </c>
      <c r="Q143" s="88">
        <f t="shared" si="35"/>
        <v>59038.2</v>
      </c>
      <c r="R143" s="123">
        <f t="shared" si="36"/>
        <v>1.8950362179321971</v>
      </c>
      <c r="S143" s="88">
        <f t="shared" si="39"/>
        <v>-20050.640000000014</v>
      </c>
      <c r="T143" s="124">
        <f t="shared" si="40"/>
        <v>0.86176800047211088</v>
      </c>
      <c r="U143" s="88">
        <f t="shared" si="41"/>
        <v>79088.840000000011</v>
      </c>
      <c r="V143" s="124">
        <f t="shared" si="42"/>
        <v>2.1990097298739575</v>
      </c>
      <c r="W143" s="157">
        <f t="shared" si="37"/>
        <v>11</v>
      </c>
    </row>
    <row r="144" spans="1:23" ht="11.25" customHeight="1" x14ac:dyDescent="0.25">
      <c r="A144" s="42" t="s">
        <v>1054</v>
      </c>
      <c r="B144" s="282">
        <f t="shared" si="38"/>
        <v>11</v>
      </c>
      <c r="C144" s="28" t="s">
        <v>916</v>
      </c>
      <c r="D144" s="28" t="s">
        <v>923</v>
      </c>
      <c r="E144" s="28" t="s">
        <v>1037</v>
      </c>
      <c r="F144" s="359" t="s">
        <v>141</v>
      </c>
      <c r="G144" s="360"/>
      <c r="H144" s="11">
        <v>-190794.35</v>
      </c>
      <c r="I144" s="11">
        <v>-2203147.31</v>
      </c>
      <c r="J144" s="336">
        <v>-1524000</v>
      </c>
      <c r="K144" s="130">
        <v>-439182.02</v>
      </c>
      <c r="L144" s="142">
        <v>-250000</v>
      </c>
      <c r="O144" s="88">
        <f t="shared" si="33"/>
        <v>-1274000</v>
      </c>
      <c r="P144" s="123">
        <f t="shared" si="34"/>
        <v>0.16404199475065617</v>
      </c>
      <c r="Q144" s="88">
        <f t="shared" si="35"/>
        <v>-1953147.31</v>
      </c>
      <c r="R144" s="123">
        <f t="shared" si="36"/>
        <v>0.11347402820740116</v>
      </c>
      <c r="S144" s="88">
        <f t="shared" si="39"/>
        <v>-189182.02000000002</v>
      </c>
      <c r="T144" s="124">
        <f t="shared" si="40"/>
        <v>0.56924006133037952</v>
      </c>
      <c r="U144" s="88">
        <f t="shared" si="41"/>
        <v>-1763965.29</v>
      </c>
      <c r="V144" s="124">
        <f t="shared" si="42"/>
        <v>0.1993430117026537</v>
      </c>
      <c r="W144" s="157">
        <f t="shared" si="37"/>
        <v>11</v>
      </c>
    </row>
    <row r="145" spans="1:23" ht="11.25" customHeight="1" x14ac:dyDescent="0.25">
      <c r="A145" s="42" t="s">
        <v>1055</v>
      </c>
      <c r="B145" s="282">
        <f t="shared" si="38"/>
        <v>11</v>
      </c>
      <c r="C145" s="14"/>
      <c r="D145" s="13"/>
      <c r="E145" s="13"/>
      <c r="F145" s="359" t="s">
        <v>142</v>
      </c>
      <c r="G145" s="360"/>
      <c r="H145" s="11">
        <v>532.4</v>
      </c>
      <c r="I145" s="11">
        <v>11972.95</v>
      </c>
      <c r="J145" s="336">
        <v>0</v>
      </c>
      <c r="K145" s="130">
        <v>18028.88</v>
      </c>
      <c r="L145" s="141"/>
      <c r="O145" s="88">
        <f t="shared" si="33"/>
        <v>0</v>
      </c>
      <c r="P145" s="123" t="str">
        <f t="shared" si="34"/>
        <v/>
      </c>
      <c r="Q145" s="88">
        <f t="shared" si="35"/>
        <v>11972.95</v>
      </c>
      <c r="R145" s="123">
        <f t="shared" si="36"/>
        <v>0</v>
      </c>
      <c r="S145" s="88">
        <f t="shared" si="39"/>
        <v>18028.88</v>
      </c>
      <c r="T145" s="124">
        <f t="shared" si="40"/>
        <v>0</v>
      </c>
      <c r="U145" s="88">
        <f t="shared" si="41"/>
        <v>-6055.93</v>
      </c>
      <c r="V145" s="124">
        <f t="shared" si="42"/>
        <v>1.5058009930718828</v>
      </c>
      <c r="W145" s="157">
        <f t="shared" si="37"/>
        <v>11</v>
      </c>
    </row>
    <row r="146" spans="1:23" ht="11.25" customHeight="1" x14ac:dyDescent="0.25">
      <c r="A146" s="42" t="s">
        <v>1056</v>
      </c>
      <c r="B146" s="282">
        <f t="shared" si="38"/>
        <v>11</v>
      </c>
      <c r="C146" s="28" t="s">
        <v>916</v>
      </c>
      <c r="D146" s="28" t="s">
        <v>917</v>
      </c>
      <c r="E146" s="28" t="s">
        <v>917</v>
      </c>
      <c r="F146" s="359" t="s">
        <v>143</v>
      </c>
      <c r="G146" s="360"/>
      <c r="H146" s="11">
        <v>-6199120.2599999998</v>
      </c>
      <c r="I146" s="11">
        <v>-6751539.4699999904</v>
      </c>
      <c r="J146" s="336">
        <v>-6649145.2521631904</v>
      </c>
      <c r="K146" s="130">
        <v>-6626177.7000000002</v>
      </c>
      <c r="L146" s="146">
        <f>-7072247-20000+187247</f>
        <v>-6905000</v>
      </c>
      <c r="O146" s="88">
        <f t="shared" si="33"/>
        <v>255854.74783680961</v>
      </c>
      <c r="P146" s="123">
        <f t="shared" si="34"/>
        <v>1.0384793440560758</v>
      </c>
      <c r="Q146" s="88">
        <f t="shared" si="35"/>
        <v>153460.53000000957</v>
      </c>
      <c r="R146" s="123">
        <f t="shared" si="36"/>
        <v>1.0227297093769356</v>
      </c>
      <c r="S146" s="88">
        <f t="shared" si="39"/>
        <v>278822.29999999981</v>
      </c>
      <c r="T146" s="124">
        <f t="shared" si="40"/>
        <v>1.0420789047054986</v>
      </c>
      <c r="U146" s="88">
        <f t="shared" si="41"/>
        <v>-125361.76999999024</v>
      </c>
      <c r="V146" s="124">
        <f t="shared" si="42"/>
        <v>0.98143212069528341</v>
      </c>
      <c r="W146" s="157">
        <f t="shared" si="37"/>
        <v>11</v>
      </c>
    </row>
    <row r="147" spans="1:23" ht="11.25" customHeight="1" x14ac:dyDescent="0.25">
      <c r="A147" s="42" t="s">
        <v>1057</v>
      </c>
      <c r="B147" s="282">
        <f t="shared" si="38"/>
        <v>11</v>
      </c>
      <c r="C147" s="28" t="s">
        <v>916</v>
      </c>
      <c r="D147" s="28" t="s">
        <v>917</v>
      </c>
      <c r="E147" s="28" t="s">
        <v>917</v>
      </c>
      <c r="F147" s="359" t="s">
        <v>144</v>
      </c>
      <c r="G147" s="360"/>
      <c r="H147" s="11">
        <v>-12778799.890000001</v>
      </c>
      <c r="I147" s="11">
        <v>-13075164.6</v>
      </c>
      <c r="J147" s="336">
        <v>-13151958.6907572</v>
      </c>
      <c r="K147" s="130">
        <v>-13876703.51</v>
      </c>
      <c r="L147" s="146">
        <f>-14306805-55000+111099</f>
        <v>-14250706</v>
      </c>
      <c r="O147" s="88">
        <f t="shared" si="33"/>
        <v>1098747.3092427999</v>
      </c>
      <c r="P147" s="123">
        <f t="shared" si="34"/>
        <v>1.0835424848174871</v>
      </c>
      <c r="Q147" s="88">
        <f t="shared" si="35"/>
        <v>1175541.4000000004</v>
      </c>
      <c r="R147" s="123">
        <f t="shared" si="36"/>
        <v>1.0899064322295415</v>
      </c>
      <c r="S147" s="88">
        <f t="shared" si="39"/>
        <v>374002.49000000022</v>
      </c>
      <c r="T147" s="124">
        <f t="shared" si="40"/>
        <v>1.0269518253906975</v>
      </c>
      <c r="U147" s="88">
        <f t="shared" si="41"/>
        <v>801538.91000000015</v>
      </c>
      <c r="V147" s="124">
        <f t="shared" si="42"/>
        <v>1.0613023953824643</v>
      </c>
      <c r="W147" s="157">
        <f t="shared" si="37"/>
        <v>11</v>
      </c>
    </row>
    <row r="148" spans="1:23" ht="11.25" customHeight="1" x14ac:dyDescent="0.25">
      <c r="A148" s="42" t="s">
        <v>1058</v>
      </c>
      <c r="B148" s="282">
        <f t="shared" si="38"/>
        <v>11</v>
      </c>
      <c r="C148" s="28" t="s">
        <v>916</v>
      </c>
      <c r="D148" s="28" t="s">
        <v>917</v>
      </c>
      <c r="E148" s="28" t="s">
        <v>917</v>
      </c>
      <c r="F148" s="359" t="s">
        <v>145</v>
      </c>
      <c r="G148" s="360"/>
      <c r="H148" s="11">
        <v>-5232738.22</v>
      </c>
      <c r="I148" s="11">
        <v>-5772155.4400000004</v>
      </c>
      <c r="J148" s="336">
        <v>-5823597.8922864497</v>
      </c>
      <c r="K148" s="130">
        <v>-5955428.0899999999</v>
      </c>
      <c r="L148" s="146">
        <f>-5456653.99999998+5000-169000-298346</f>
        <v>-5918999.9999999804</v>
      </c>
      <c r="O148" s="88">
        <f t="shared" si="33"/>
        <v>95402.107713530771</v>
      </c>
      <c r="P148" s="123">
        <f t="shared" si="34"/>
        <v>1.0163819874720221</v>
      </c>
      <c r="Q148" s="88">
        <f t="shared" si="35"/>
        <v>146844.55999998003</v>
      </c>
      <c r="R148" s="123">
        <f t="shared" si="36"/>
        <v>1.0254401603571472</v>
      </c>
      <c r="S148" s="88">
        <f t="shared" si="39"/>
        <v>-36428.090000019409</v>
      </c>
      <c r="T148" s="124">
        <f t="shared" si="40"/>
        <v>0.99388321218063447</v>
      </c>
      <c r="U148" s="88">
        <f t="shared" si="41"/>
        <v>183272.64999999944</v>
      </c>
      <c r="V148" s="124">
        <f t="shared" si="42"/>
        <v>1.0317511633054703</v>
      </c>
      <c r="W148" s="157">
        <f t="shared" si="37"/>
        <v>11</v>
      </c>
    </row>
    <row r="149" spans="1:23" ht="11.25" customHeight="1" x14ac:dyDescent="0.25">
      <c r="A149" s="26" t="s">
        <v>1059</v>
      </c>
      <c r="B149" s="282">
        <f t="shared" si="38"/>
        <v>7</v>
      </c>
      <c r="C149" s="26"/>
      <c r="D149" s="23"/>
      <c r="E149" s="23"/>
      <c r="F149" s="361" t="s">
        <v>146</v>
      </c>
      <c r="G149" s="362"/>
      <c r="H149" s="25">
        <f t="shared" ref="H149:L149" si="43">SUM(H150)</f>
        <v>-99178.03</v>
      </c>
      <c r="I149" s="25">
        <f t="shared" si="43"/>
        <v>-120156.37</v>
      </c>
      <c r="J149" s="129">
        <f t="shared" si="43"/>
        <v>-99999.999999995998</v>
      </c>
      <c r="K149" s="342">
        <f t="shared" si="43"/>
        <v>-169278.67</v>
      </c>
      <c r="L149" s="140">
        <f t="shared" si="43"/>
        <v>-125000</v>
      </c>
      <c r="O149" s="88">
        <f t="shared" si="33"/>
        <v>25000.000000004002</v>
      </c>
      <c r="P149" s="123">
        <f t="shared" si="34"/>
        <v>1.25000000000005</v>
      </c>
      <c r="Q149" s="88">
        <f t="shared" si="35"/>
        <v>4843.6300000000047</v>
      </c>
      <c r="R149" s="123">
        <f t="shared" si="36"/>
        <v>1.040311054669844</v>
      </c>
      <c r="S149" s="88">
        <f t="shared" si="39"/>
        <v>-44278.670000000013</v>
      </c>
      <c r="T149" s="124">
        <f t="shared" si="40"/>
        <v>0.73842735177444385</v>
      </c>
      <c r="U149" s="88">
        <f t="shared" si="41"/>
        <v>49122.300000000017</v>
      </c>
      <c r="V149" s="124">
        <f t="shared" si="42"/>
        <v>1.4088197737664681</v>
      </c>
      <c r="W149" s="157">
        <f t="shared" si="37"/>
        <v>7</v>
      </c>
    </row>
    <row r="150" spans="1:23" ht="11.25" customHeight="1" x14ac:dyDescent="0.25">
      <c r="A150" s="42" t="s">
        <v>1060</v>
      </c>
      <c r="B150" s="282">
        <f t="shared" si="38"/>
        <v>11</v>
      </c>
      <c r="C150" s="20" t="s">
        <v>916</v>
      </c>
      <c r="D150" s="20" t="s">
        <v>919</v>
      </c>
      <c r="E150" s="20" t="s">
        <v>917</v>
      </c>
      <c r="F150" s="359" t="s">
        <v>147</v>
      </c>
      <c r="G150" s="360"/>
      <c r="H150" s="11">
        <v>-99178.03</v>
      </c>
      <c r="I150" s="11">
        <v>-120156.37</v>
      </c>
      <c r="J150" s="336">
        <v>-99999.999999995998</v>
      </c>
      <c r="K150" s="130">
        <v>-169278.67</v>
      </c>
      <c r="L150" s="142">
        <v>-125000</v>
      </c>
      <c r="O150" s="88">
        <f t="shared" si="33"/>
        <v>25000.000000004002</v>
      </c>
      <c r="P150" s="123">
        <f t="shared" si="34"/>
        <v>1.25000000000005</v>
      </c>
      <c r="Q150" s="88">
        <f t="shared" si="35"/>
        <v>4843.6300000000047</v>
      </c>
      <c r="R150" s="123">
        <f t="shared" si="36"/>
        <v>1.040311054669844</v>
      </c>
      <c r="S150" s="88">
        <f t="shared" si="39"/>
        <v>-44278.670000000013</v>
      </c>
      <c r="T150" s="124">
        <f t="shared" si="40"/>
        <v>0.73842735177444385</v>
      </c>
      <c r="U150" s="88">
        <f t="shared" si="41"/>
        <v>49122.300000000017</v>
      </c>
      <c r="V150" s="124">
        <f t="shared" si="42"/>
        <v>1.4088197737664681</v>
      </c>
      <c r="W150" s="157">
        <f t="shared" si="37"/>
        <v>11</v>
      </c>
    </row>
    <row r="151" spans="1:23" ht="11.25" customHeight="1" x14ac:dyDescent="0.25">
      <c r="A151" s="26" t="s">
        <v>1061</v>
      </c>
      <c r="B151" s="282">
        <f t="shared" si="38"/>
        <v>7</v>
      </c>
      <c r="C151" s="26"/>
      <c r="D151" s="23"/>
      <c r="E151" s="23"/>
      <c r="F151" s="361" t="s">
        <v>148</v>
      </c>
      <c r="G151" s="362"/>
      <c r="H151" s="25">
        <f t="shared" ref="H151:L151" si="44">SUM(H152:H154)</f>
        <v>-1920028.44</v>
      </c>
      <c r="I151" s="25">
        <f t="shared" si="44"/>
        <v>-1776114.44</v>
      </c>
      <c r="J151" s="129">
        <f t="shared" si="44"/>
        <v>-1500351.5200643081</v>
      </c>
      <c r="K151" s="342">
        <f t="shared" si="44"/>
        <v>-2438243.69</v>
      </c>
      <c r="L151" s="140">
        <f t="shared" si="44"/>
        <v>-2000000</v>
      </c>
      <c r="O151" s="88">
        <f t="shared" si="33"/>
        <v>499648.47993569192</v>
      </c>
      <c r="P151" s="123">
        <f t="shared" si="34"/>
        <v>1.3330209442612995</v>
      </c>
      <c r="Q151" s="88">
        <f t="shared" si="35"/>
        <v>223885.56000000006</v>
      </c>
      <c r="R151" s="123">
        <f t="shared" si="36"/>
        <v>1.1260535666834621</v>
      </c>
      <c r="S151" s="88">
        <f t="shared" si="39"/>
        <v>-438243.68999999994</v>
      </c>
      <c r="T151" s="124">
        <f t="shared" si="40"/>
        <v>0.82026255546261662</v>
      </c>
      <c r="U151" s="88">
        <f t="shared" si="41"/>
        <v>662129.25</v>
      </c>
      <c r="V151" s="124">
        <f t="shared" si="42"/>
        <v>1.3727965017839729</v>
      </c>
      <c r="W151" s="157">
        <f t="shared" si="37"/>
        <v>7</v>
      </c>
    </row>
    <row r="152" spans="1:23" ht="11.25" customHeight="1" x14ac:dyDescent="0.25">
      <c r="A152" s="42" t="s">
        <v>1062</v>
      </c>
      <c r="B152" s="282">
        <f t="shared" si="38"/>
        <v>11</v>
      </c>
      <c r="C152" s="27" t="s">
        <v>916</v>
      </c>
      <c r="D152" s="28" t="s">
        <v>920</v>
      </c>
      <c r="E152" s="28" t="s">
        <v>917</v>
      </c>
      <c r="F152" s="359" t="s">
        <v>149</v>
      </c>
      <c r="G152" s="360"/>
      <c r="H152" s="11">
        <v>-1384255.1</v>
      </c>
      <c r="I152" s="11">
        <v>-562991.74</v>
      </c>
      <c r="J152" s="336">
        <v>-499999.99999999203</v>
      </c>
      <c r="K152" s="130">
        <v>-475276.65</v>
      </c>
      <c r="L152" s="142">
        <v>-500000</v>
      </c>
      <c r="O152" s="88">
        <f t="shared" si="33"/>
        <v>7.9744495451450348E-9</v>
      </c>
      <c r="P152" s="123">
        <f t="shared" si="34"/>
        <v>1.000000000000016</v>
      </c>
      <c r="Q152" s="88">
        <f t="shared" si="35"/>
        <v>-62991.739999999991</v>
      </c>
      <c r="R152" s="123">
        <f t="shared" si="36"/>
        <v>0.88811249699684758</v>
      </c>
      <c r="S152" s="88">
        <f t="shared" si="39"/>
        <v>24723.349999999977</v>
      </c>
      <c r="T152" s="124">
        <f t="shared" si="40"/>
        <v>1.0520188610149477</v>
      </c>
      <c r="U152" s="88">
        <f t="shared" si="41"/>
        <v>-87715.089999999967</v>
      </c>
      <c r="V152" s="124">
        <f t="shared" si="42"/>
        <v>0.84419826479159366</v>
      </c>
      <c r="W152" s="157">
        <f t="shared" si="37"/>
        <v>11</v>
      </c>
    </row>
    <row r="153" spans="1:23" ht="11.25" customHeight="1" x14ac:dyDescent="0.25">
      <c r="A153" s="42" t="s">
        <v>1063</v>
      </c>
      <c r="B153" s="282">
        <f t="shared" si="38"/>
        <v>11</v>
      </c>
      <c r="C153" s="27" t="s">
        <v>916</v>
      </c>
      <c r="D153" s="28" t="s">
        <v>920</v>
      </c>
      <c r="E153" s="28" t="s">
        <v>917</v>
      </c>
      <c r="F153" s="359" t="s">
        <v>150</v>
      </c>
      <c r="G153" s="360"/>
      <c r="H153" s="11">
        <v>-535773.34</v>
      </c>
      <c r="I153" s="11">
        <v>-1212958.3799999999</v>
      </c>
      <c r="J153" s="336">
        <v>-999999.99999999604</v>
      </c>
      <c r="K153" s="130">
        <v>-1960711.6</v>
      </c>
      <c r="L153" s="142">
        <v>-1500000</v>
      </c>
      <c r="O153" s="88">
        <f t="shared" si="33"/>
        <v>500000.00000000396</v>
      </c>
      <c r="P153" s="123">
        <f t="shared" si="34"/>
        <v>1.500000000000006</v>
      </c>
      <c r="Q153" s="88">
        <f t="shared" si="35"/>
        <v>287041.62000000011</v>
      </c>
      <c r="R153" s="123">
        <f t="shared" si="36"/>
        <v>1.2366458938187146</v>
      </c>
      <c r="S153" s="88">
        <f t="shared" si="39"/>
        <v>-460711.60000000009</v>
      </c>
      <c r="T153" s="124">
        <f t="shared" si="40"/>
        <v>0.76502837031208459</v>
      </c>
      <c r="U153" s="88">
        <f t="shared" si="41"/>
        <v>747753.2200000002</v>
      </c>
      <c r="V153" s="124">
        <f t="shared" si="42"/>
        <v>1.6164706327351481</v>
      </c>
      <c r="W153" s="157">
        <f t="shared" si="37"/>
        <v>11</v>
      </c>
    </row>
    <row r="154" spans="1:23" ht="11.25" customHeight="1" x14ac:dyDescent="0.25">
      <c r="A154" s="42" t="s">
        <v>1064</v>
      </c>
      <c r="B154" s="282">
        <f t="shared" si="38"/>
        <v>11</v>
      </c>
      <c r="C154" s="27"/>
      <c r="D154" s="28"/>
      <c r="E154" s="28"/>
      <c r="F154" s="359" t="s">
        <v>93</v>
      </c>
      <c r="G154" s="360"/>
      <c r="H154" s="11">
        <v>0</v>
      </c>
      <c r="I154" s="11">
        <v>-164.32</v>
      </c>
      <c r="J154" s="336">
        <v>-351.52006432000002</v>
      </c>
      <c r="K154" s="130">
        <v>-2255.44</v>
      </c>
      <c r="L154" s="142">
        <v>0</v>
      </c>
      <c r="O154" s="88">
        <f t="shared" si="33"/>
        <v>-351.52006432000002</v>
      </c>
      <c r="P154" s="123">
        <f t="shared" si="34"/>
        <v>0</v>
      </c>
      <c r="Q154" s="88">
        <f t="shared" si="35"/>
        <v>-164.32</v>
      </c>
      <c r="R154" s="123">
        <f t="shared" si="36"/>
        <v>0</v>
      </c>
      <c r="S154" s="88">
        <f t="shared" si="39"/>
        <v>-2255.44</v>
      </c>
      <c r="T154" s="124">
        <f t="shared" si="40"/>
        <v>0</v>
      </c>
      <c r="U154" s="88">
        <f t="shared" si="41"/>
        <v>2091.12</v>
      </c>
      <c r="V154" s="124">
        <f t="shared" si="42"/>
        <v>13.725900681596885</v>
      </c>
      <c r="W154" s="157">
        <f t="shared" si="37"/>
        <v>11</v>
      </c>
    </row>
    <row r="155" spans="1:23" ht="11.25" customHeight="1" x14ac:dyDescent="0.25">
      <c r="A155" s="26" t="s">
        <v>1668</v>
      </c>
      <c r="B155" s="282">
        <f t="shared" si="38"/>
        <v>7</v>
      </c>
      <c r="C155" s="26"/>
      <c r="D155" s="23"/>
      <c r="E155" s="23"/>
      <c r="F155" s="361" t="s">
        <v>151</v>
      </c>
      <c r="G155" s="362"/>
      <c r="H155" s="25">
        <f>SUM(H156)</f>
        <v>-1170.94</v>
      </c>
      <c r="I155" s="25">
        <f>SUM(I156)</f>
        <v>-1125.3399999999999</v>
      </c>
      <c r="J155" s="129">
        <f>SUM(J156)</f>
        <v>0</v>
      </c>
      <c r="K155" s="129">
        <f t="shared" ref="K155:L155" si="45">SUM(K156)</f>
        <v>-511.92</v>
      </c>
      <c r="L155" s="140">
        <f t="shared" si="45"/>
        <v>0</v>
      </c>
      <c r="O155" s="88">
        <f t="shared" si="33"/>
        <v>0</v>
      </c>
      <c r="P155" s="123" t="str">
        <f t="shared" si="34"/>
        <v/>
      </c>
      <c r="Q155" s="88">
        <f t="shared" si="35"/>
        <v>-1125.3399999999999</v>
      </c>
      <c r="R155" s="123">
        <f t="shared" si="36"/>
        <v>0</v>
      </c>
      <c r="S155" s="88">
        <f t="shared" si="39"/>
        <v>-511.92</v>
      </c>
      <c r="T155" s="124">
        <f t="shared" si="40"/>
        <v>0</v>
      </c>
      <c r="U155" s="88">
        <f t="shared" si="41"/>
        <v>-613.41999999999985</v>
      </c>
      <c r="V155" s="124">
        <f t="shared" si="42"/>
        <v>0.45490251835000983</v>
      </c>
      <c r="W155" s="157">
        <f t="shared" si="37"/>
        <v>7</v>
      </c>
    </row>
    <row r="156" spans="1:23" ht="11.25" customHeight="1" x14ac:dyDescent="0.25">
      <c r="A156" s="42" t="s">
        <v>1065</v>
      </c>
      <c r="B156" s="282">
        <f t="shared" si="38"/>
        <v>11</v>
      </c>
      <c r="C156" s="14"/>
      <c r="D156" s="13"/>
      <c r="E156" s="13"/>
      <c r="F156" s="359" t="s">
        <v>152</v>
      </c>
      <c r="G156" s="360"/>
      <c r="H156" s="11">
        <v>-1170.94</v>
      </c>
      <c r="I156" s="11">
        <v>-1125.3399999999999</v>
      </c>
      <c r="J156" s="336">
        <v>0</v>
      </c>
      <c r="K156" s="130">
        <v>-511.92</v>
      </c>
      <c r="L156" s="142">
        <v>0</v>
      </c>
      <c r="O156" s="88">
        <f t="shared" si="33"/>
        <v>0</v>
      </c>
      <c r="P156" s="123" t="str">
        <f t="shared" si="34"/>
        <v/>
      </c>
      <c r="Q156" s="88">
        <f t="shared" si="35"/>
        <v>-1125.3399999999999</v>
      </c>
      <c r="R156" s="123">
        <f t="shared" si="36"/>
        <v>0</v>
      </c>
      <c r="S156" s="88">
        <f t="shared" si="39"/>
        <v>-511.92</v>
      </c>
      <c r="T156" s="124">
        <f t="shared" si="40"/>
        <v>0</v>
      </c>
      <c r="U156" s="88">
        <f t="shared" si="41"/>
        <v>-613.41999999999985</v>
      </c>
      <c r="V156" s="124">
        <f t="shared" si="42"/>
        <v>0.45490251835000983</v>
      </c>
      <c r="W156" s="157">
        <f t="shared" si="37"/>
        <v>11</v>
      </c>
    </row>
    <row r="157" spans="1:23" ht="11.25" customHeight="1" x14ac:dyDescent="0.25">
      <c r="A157" s="26" t="s">
        <v>1066</v>
      </c>
      <c r="B157" s="282">
        <f t="shared" si="38"/>
        <v>7</v>
      </c>
      <c r="C157" s="26"/>
      <c r="D157" s="23"/>
      <c r="E157" s="23"/>
      <c r="F157" s="361" t="s">
        <v>153</v>
      </c>
      <c r="G157" s="362"/>
      <c r="H157" s="25">
        <f t="shared" ref="H157:L157" si="46">SUM(H158:H163)</f>
        <v>-146910.56</v>
      </c>
      <c r="I157" s="25">
        <f t="shared" si="46"/>
        <v>-132575.58000000002</v>
      </c>
      <c r="J157" s="129">
        <f t="shared" si="46"/>
        <v>0</v>
      </c>
      <c r="K157" s="129">
        <f t="shared" si="46"/>
        <v>-89308.96</v>
      </c>
      <c r="L157" s="140">
        <f t="shared" si="46"/>
        <v>0</v>
      </c>
      <c r="O157" s="88">
        <f t="shared" si="33"/>
        <v>0</v>
      </c>
      <c r="P157" s="123" t="str">
        <f t="shared" si="34"/>
        <v/>
      </c>
      <c r="Q157" s="88">
        <f t="shared" si="35"/>
        <v>-132575.58000000002</v>
      </c>
      <c r="R157" s="123">
        <f t="shared" si="36"/>
        <v>0</v>
      </c>
      <c r="S157" s="88">
        <f t="shared" si="39"/>
        <v>-89308.96</v>
      </c>
      <c r="T157" s="124">
        <f t="shared" si="40"/>
        <v>0</v>
      </c>
      <c r="U157" s="88">
        <f t="shared" si="41"/>
        <v>-43266.62000000001</v>
      </c>
      <c r="V157" s="124">
        <f t="shared" si="42"/>
        <v>0.67364562915734549</v>
      </c>
      <c r="W157" s="157">
        <f t="shared" si="37"/>
        <v>7</v>
      </c>
    </row>
    <row r="158" spans="1:23" ht="11.25" customHeight="1" x14ac:dyDescent="0.25">
      <c r="A158" s="42" t="s">
        <v>1067</v>
      </c>
      <c r="B158" s="282">
        <f t="shared" si="38"/>
        <v>11</v>
      </c>
      <c r="C158" s="14"/>
      <c r="D158" s="13"/>
      <c r="E158" s="13"/>
      <c r="F158" s="359" t="s">
        <v>154</v>
      </c>
      <c r="G158" s="360"/>
      <c r="H158" s="11">
        <v>-44576.63</v>
      </c>
      <c r="I158" s="11">
        <v>-41481.120000000003</v>
      </c>
      <c r="J158" s="336">
        <v>0</v>
      </c>
      <c r="K158" s="130">
        <v>-45755.71</v>
      </c>
      <c r="L158" s="142">
        <v>0</v>
      </c>
      <c r="O158" s="88">
        <f t="shared" si="33"/>
        <v>0</v>
      </c>
      <c r="P158" s="123" t="str">
        <f t="shared" si="34"/>
        <v/>
      </c>
      <c r="Q158" s="88">
        <f t="shared" si="35"/>
        <v>-41481.120000000003</v>
      </c>
      <c r="R158" s="123">
        <f t="shared" si="36"/>
        <v>0</v>
      </c>
      <c r="S158" s="88">
        <f t="shared" si="39"/>
        <v>-45755.71</v>
      </c>
      <c r="T158" s="124">
        <f t="shared" si="40"/>
        <v>0</v>
      </c>
      <c r="U158" s="88">
        <f t="shared" si="41"/>
        <v>4274.5899999999965</v>
      </c>
      <c r="V158" s="124">
        <f t="shared" si="42"/>
        <v>1.1030490497845766</v>
      </c>
      <c r="W158" s="157">
        <f t="shared" si="37"/>
        <v>11</v>
      </c>
    </row>
    <row r="159" spans="1:23" ht="11.25" customHeight="1" x14ac:dyDescent="0.25">
      <c r="A159" s="42" t="s">
        <v>1068</v>
      </c>
      <c r="B159" s="282">
        <f t="shared" si="38"/>
        <v>11</v>
      </c>
      <c r="C159" s="14"/>
      <c r="D159" s="13"/>
      <c r="E159" s="13"/>
      <c r="F159" s="359" t="s">
        <v>155</v>
      </c>
      <c r="G159" s="360"/>
      <c r="H159" s="11">
        <v>-32148.21</v>
      </c>
      <c r="I159" s="11">
        <v>-32824.01</v>
      </c>
      <c r="J159" s="336">
        <v>0</v>
      </c>
      <c r="K159" s="130">
        <v>-28430.48</v>
      </c>
      <c r="L159" s="142">
        <v>0</v>
      </c>
      <c r="O159" s="88">
        <f t="shared" si="33"/>
        <v>0</v>
      </c>
      <c r="P159" s="123" t="str">
        <f t="shared" si="34"/>
        <v/>
      </c>
      <c r="Q159" s="88">
        <f t="shared" si="35"/>
        <v>-32824.01</v>
      </c>
      <c r="R159" s="123">
        <f t="shared" si="36"/>
        <v>0</v>
      </c>
      <c r="S159" s="88">
        <f t="shared" si="39"/>
        <v>-28430.48</v>
      </c>
      <c r="T159" s="124">
        <f t="shared" si="40"/>
        <v>0</v>
      </c>
      <c r="U159" s="88">
        <f t="shared" si="41"/>
        <v>-4393.5300000000025</v>
      </c>
      <c r="V159" s="124">
        <f t="shared" si="42"/>
        <v>0.86614889527513539</v>
      </c>
      <c r="W159" s="157">
        <f t="shared" si="37"/>
        <v>11</v>
      </c>
    </row>
    <row r="160" spans="1:23" ht="11.25" customHeight="1" x14ac:dyDescent="0.25">
      <c r="A160" s="42" t="s">
        <v>1069</v>
      </c>
      <c r="B160" s="282">
        <f t="shared" si="38"/>
        <v>11</v>
      </c>
      <c r="C160" s="14"/>
      <c r="D160" s="13"/>
      <c r="E160" s="13"/>
      <c r="F160" s="359" t="s">
        <v>156</v>
      </c>
      <c r="G160" s="360"/>
      <c r="H160" s="11">
        <v>-1080.23</v>
      </c>
      <c r="I160" s="11">
        <v>-1574.46</v>
      </c>
      <c r="J160" s="336">
        <v>0</v>
      </c>
      <c r="K160" s="130">
        <v>-1042.08</v>
      </c>
      <c r="L160" s="142">
        <v>0</v>
      </c>
      <c r="O160" s="88">
        <f t="shared" si="33"/>
        <v>0</v>
      </c>
      <c r="P160" s="123" t="str">
        <f t="shared" si="34"/>
        <v/>
      </c>
      <c r="Q160" s="88">
        <f t="shared" si="35"/>
        <v>-1574.46</v>
      </c>
      <c r="R160" s="123">
        <f t="shared" si="36"/>
        <v>0</v>
      </c>
      <c r="S160" s="88">
        <f t="shared" si="39"/>
        <v>-1042.08</v>
      </c>
      <c r="T160" s="124">
        <f t="shared" si="40"/>
        <v>0</v>
      </c>
      <c r="U160" s="88">
        <f t="shared" si="41"/>
        <v>-532.38000000000011</v>
      </c>
      <c r="V160" s="124">
        <f t="shared" si="42"/>
        <v>0.66186502038794248</v>
      </c>
      <c r="W160" s="157">
        <f t="shared" si="37"/>
        <v>11</v>
      </c>
    </row>
    <row r="161" spans="1:23" ht="11.25" customHeight="1" x14ac:dyDescent="0.25">
      <c r="A161" s="42" t="s">
        <v>1070</v>
      </c>
      <c r="B161" s="282">
        <f t="shared" si="38"/>
        <v>11</v>
      </c>
      <c r="C161" s="14"/>
      <c r="D161" s="13"/>
      <c r="E161" s="13"/>
      <c r="F161" s="359" t="s">
        <v>157</v>
      </c>
      <c r="G161" s="360"/>
      <c r="H161" s="11">
        <v>-3705.97</v>
      </c>
      <c r="I161" s="11">
        <v>-3379.38</v>
      </c>
      <c r="J161" s="336">
        <v>0</v>
      </c>
      <c r="K161" s="130">
        <v>-2996.95</v>
      </c>
      <c r="L161" s="142">
        <v>0</v>
      </c>
      <c r="O161" s="88">
        <f t="shared" si="33"/>
        <v>0</v>
      </c>
      <c r="P161" s="123" t="str">
        <f t="shared" si="34"/>
        <v/>
      </c>
      <c r="Q161" s="88">
        <f t="shared" si="35"/>
        <v>-3379.38</v>
      </c>
      <c r="R161" s="123">
        <f t="shared" si="36"/>
        <v>0</v>
      </c>
      <c r="S161" s="88">
        <f t="shared" si="39"/>
        <v>-2996.95</v>
      </c>
      <c r="T161" s="124">
        <f t="shared" si="40"/>
        <v>0</v>
      </c>
      <c r="U161" s="88">
        <f t="shared" si="41"/>
        <v>-382.43000000000029</v>
      </c>
      <c r="V161" s="124">
        <f t="shared" si="42"/>
        <v>0.88683427137522264</v>
      </c>
      <c r="W161" s="157">
        <f t="shared" si="37"/>
        <v>11</v>
      </c>
    </row>
    <row r="162" spans="1:23" ht="11.25" customHeight="1" x14ac:dyDescent="0.25">
      <c r="A162" s="42" t="s">
        <v>1071</v>
      </c>
      <c r="B162" s="282">
        <f t="shared" si="38"/>
        <v>11</v>
      </c>
      <c r="C162" s="14"/>
      <c r="D162" s="13"/>
      <c r="E162" s="13"/>
      <c r="F162" s="359" t="s">
        <v>158</v>
      </c>
      <c r="G162" s="360"/>
      <c r="H162" s="11">
        <v>-3281.94</v>
      </c>
      <c r="I162" s="11">
        <v>-2850</v>
      </c>
      <c r="J162" s="336">
        <v>0</v>
      </c>
      <c r="K162" s="130">
        <v>-3074.07</v>
      </c>
      <c r="L162" s="142">
        <v>0</v>
      </c>
      <c r="O162" s="88">
        <f t="shared" si="33"/>
        <v>0</v>
      </c>
      <c r="P162" s="123" t="str">
        <f t="shared" si="34"/>
        <v/>
      </c>
      <c r="Q162" s="88">
        <f t="shared" si="35"/>
        <v>-2850</v>
      </c>
      <c r="R162" s="123">
        <f t="shared" si="36"/>
        <v>0</v>
      </c>
      <c r="S162" s="88">
        <f t="shared" si="39"/>
        <v>-3074.07</v>
      </c>
      <c r="T162" s="124">
        <f t="shared" si="40"/>
        <v>0</v>
      </c>
      <c r="U162" s="88">
        <f t="shared" si="41"/>
        <v>224.07000000000016</v>
      </c>
      <c r="V162" s="124">
        <f t="shared" si="42"/>
        <v>1.0786210526315789</v>
      </c>
      <c r="W162" s="157">
        <f t="shared" si="37"/>
        <v>11</v>
      </c>
    </row>
    <row r="163" spans="1:23" ht="11.25" customHeight="1" x14ac:dyDescent="0.25">
      <c r="A163" s="42" t="s">
        <v>1072</v>
      </c>
      <c r="B163" s="282">
        <f t="shared" si="38"/>
        <v>11</v>
      </c>
      <c r="C163" s="14"/>
      <c r="D163" s="13"/>
      <c r="E163" s="13"/>
      <c r="F163" s="359" t="s">
        <v>159</v>
      </c>
      <c r="G163" s="360"/>
      <c r="H163" s="11">
        <v>-62117.58</v>
      </c>
      <c r="I163" s="11">
        <v>-50466.61</v>
      </c>
      <c r="J163" s="336">
        <v>0</v>
      </c>
      <c r="K163" s="130">
        <v>-8009.67</v>
      </c>
      <c r="L163" s="142">
        <v>0</v>
      </c>
      <c r="O163" s="88">
        <f t="shared" si="33"/>
        <v>0</v>
      </c>
      <c r="P163" s="123" t="str">
        <f t="shared" si="34"/>
        <v/>
      </c>
      <c r="Q163" s="88">
        <f t="shared" si="35"/>
        <v>-50466.61</v>
      </c>
      <c r="R163" s="123">
        <f t="shared" si="36"/>
        <v>0</v>
      </c>
      <c r="S163" s="88">
        <f t="shared" si="39"/>
        <v>-8009.67</v>
      </c>
      <c r="T163" s="124">
        <f t="shared" si="40"/>
        <v>0</v>
      </c>
      <c r="U163" s="88">
        <f t="shared" si="41"/>
        <v>-42456.94</v>
      </c>
      <c r="V163" s="124">
        <f t="shared" si="42"/>
        <v>0.15871226539686339</v>
      </c>
      <c r="W163" s="157">
        <f t="shared" si="37"/>
        <v>11</v>
      </c>
    </row>
    <row r="164" spans="1:23" ht="11.25" customHeight="1" x14ac:dyDescent="0.25">
      <c r="A164" s="26" t="s">
        <v>1073</v>
      </c>
      <c r="B164" s="282">
        <f t="shared" si="38"/>
        <v>7</v>
      </c>
      <c r="C164" s="26"/>
      <c r="D164" s="23"/>
      <c r="E164" s="23"/>
      <c r="F164" s="361" t="s">
        <v>160</v>
      </c>
      <c r="G164" s="362"/>
      <c r="H164" s="25">
        <f t="shared" ref="H164:L164" si="47">SUM(H165)</f>
        <v>-18074.64</v>
      </c>
      <c r="I164" s="25">
        <f t="shared" si="47"/>
        <v>-11176.91</v>
      </c>
      <c r="J164" s="129">
        <f t="shared" si="47"/>
        <v>0</v>
      </c>
      <c r="K164" s="129">
        <f t="shared" si="47"/>
        <v>-4548.75</v>
      </c>
      <c r="L164" s="140">
        <f t="shared" si="47"/>
        <v>0</v>
      </c>
      <c r="O164" s="88">
        <f t="shared" si="33"/>
        <v>0</v>
      </c>
      <c r="P164" s="123" t="str">
        <f t="shared" si="34"/>
        <v/>
      </c>
      <c r="Q164" s="88">
        <f t="shared" si="35"/>
        <v>-11176.91</v>
      </c>
      <c r="R164" s="123">
        <f t="shared" si="36"/>
        <v>0</v>
      </c>
      <c r="S164" s="88">
        <f t="shared" si="39"/>
        <v>-4548.75</v>
      </c>
      <c r="T164" s="124">
        <f t="shared" si="40"/>
        <v>0</v>
      </c>
      <c r="U164" s="88">
        <f t="shared" si="41"/>
        <v>-6628.16</v>
      </c>
      <c r="V164" s="124">
        <f t="shared" si="42"/>
        <v>0.40697742041405005</v>
      </c>
      <c r="W164" s="157">
        <f t="shared" si="37"/>
        <v>7</v>
      </c>
    </row>
    <row r="165" spans="1:23" ht="11.25" customHeight="1" x14ac:dyDescent="0.25">
      <c r="A165" s="42" t="s">
        <v>1074</v>
      </c>
      <c r="B165" s="282">
        <f t="shared" si="38"/>
        <v>11</v>
      </c>
      <c r="C165" s="14"/>
      <c r="D165" s="13"/>
      <c r="E165" s="13"/>
      <c r="F165" s="359" t="s">
        <v>161</v>
      </c>
      <c r="G165" s="360"/>
      <c r="H165" s="11">
        <v>-18074.64</v>
      </c>
      <c r="I165" s="11">
        <v>-11176.91</v>
      </c>
      <c r="J165" s="336">
        <v>0</v>
      </c>
      <c r="K165" s="130">
        <v>-4548.75</v>
      </c>
      <c r="L165" s="141"/>
      <c r="O165" s="88">
        <f t="shared" si="33"/>
        <v>0</v>
      </c>
      <c r="P165" s="123" t="str">
        <f t="shared" si="34"/>
        <v/>
      </c>
      <c r="Q165" s="88">
        <f t="shared" si="35"/>
        <v>-11176.91</v>
      </c>
      <c r="R165" s="123">
        <f t="shared" si="36"/>
        <v>0</v>
      </c>
      <c r="S165" s="88">
        <f t="shared" si="39"/>
        <v>-4548.75</v>
      </c>
      <c r="T165" s="124">
        <f t="shared" si="40"/>
        <v>0</v>
      </c>
      <c r="U165" s="88">
        <f t="shared" si="41"/>
        <v>-6628.16</v>
      </c>
      <c r="V165" s="124">
        <f t="shared" si="42"/>
        <v>0.40697742041405005</v>
      </c>
      <c r="W165" s="157">
        <f t="shared" si="37"/>
        <v>11</v>
      </c>
    </row>
    <row r="166" spans="1:23" ht="11.25" customHeight="1" x14ac:dyDescent="0.25">
      <c r="A166" s="26" t="s">
        <v>1075</v>
      </c>
      <c r="B166" s="282">
        <f t="shared" si="38"/>
        <v>7</v>
      </c>
      <c r="C166" s="26"/>
      <c r="D166" s="23"/>
      <c r="E166" s="23"/>
      <c r="F166" s="361" t="s">
        <v>162</v>
      </c>
      <c r="G166" s="362"/>
      <c r="H166" s="25">
        <f t="shared" ref="H166:L166" si="48">SUM(H167:H168)</f>
        <v>-15072.37</v>
      </c>
      <c r="I166" s="25">
        <f t="shared" si="48"/>
        <v>-16283.37</v>
      </c>
      <c r="J166" s="129">
        <f t="shared" si="48"/>
        <v>0</v>
      </c>
      <c r="K166" s="129">
        <f t="shared" si="48"/>
        <v>-20478.809999999998</v>
      </c>
      <c r="L166" s="140">
        <f t="shared" si="48"/>
        <v>0</v>
      </c>
      <c r="O166" s="88">
        <f t="shared" si="33"/>
        <v>0</v>
      </c>
      <c r="P166" s="123" t="str">
        <f t="shared" si="34"/>
        <v/>
      </c>
      <c r="Q166" s="88">
        <f t="shared" si="35"/>
        <v>-16283.37</v>
      </c>
      <c r="R166" s="123">
        <f t="shared" si="36"/>
        <v>0</v>
      </c>
      <c r="S166" s="88">
        <f t="shared" si="39"/>
        <v>-20478.809999999998</v>
      </c>
      <c r="T166" s="124">
        <f t="shared" si="40"/>
        <v>0</v>
      </c>
      <c r="U166" s="88">
        <f t="shared" si="41"/>
        <v>4195.4399999999969</v>
      </c>
      <c r="V166" s="124">
        <f t="shared" si="42"/>
        <v>1.2576518251443034</v>
      </c>
      <c r="W166" s="157">
        <f t="shared" si="37"/>
        <v>7</v>
      </c>
    </row>
    <row r="167" spans="1:23" ht="11.25" customHeight="1" x14ac:dyDescent="0.25">
      <c r="A167" s="42" t="s">
        <v>1076</v>
      </c>
      <c r="B167" s="282">
        <f t="shared" si="38"/>
        <v>11</v>
      </c>
      <c r="C167" s="14"/>
      <c r="D167" s="13"/>
      <c r="E167" s="13"/>
      <c r="F167" s="359" t="s">
        <v>163</v>
      </c>
      <c r="G167" s="360"/>
      <c r="H167" s="11">
        <v>0</v>
      </c>
      <c r="I167" s="11">
        <v>0</v>
      </c>
      <c r="J167" s="336">
        <v>0</v>
      </c>
      <c r="K167" s="130">
        <v>-476.64</v>
      </c>
      <c r="L167" s="141"/>
      <c r="O167" s="88">
        <f t="shared" si="33"/>
        <v>0</v>
      </c>
      <c r="P167" s="123" t="str">
        <f t="shared" si="34"/>
        <v/>
      </c>
      <c r="Q167" s="88">
        <f t="shared" si="35"/>
        <v>0</v>
      </c>
      <c r="R167" s="123" t="str">
        <f t="shared" si="36"/>
        <v/>
      </c>
      <c r="S167" s="88">
        <f t="shared" si="39"/>
        <v>-476.64</v>
      </c>
      <c r="T167" s="124">
        <f t="shared" si="40"/>
        <v>0</v>
      </c>
      <c r="U167" s="88">
        <f t="shared" si="41"/>
        <v>476.64</v>
      </c>
      <c r="V167" s="124" t="str">
        <f t="shared" si="42"/>
        <v/>
      </c>
      <c r="W167" s="157">
        <f t="shared" si="37"/>
        <v>11</v>
      </c>
    </row>
    <row r="168" spans="1:23" ht="11.25" customHeight="1" x14ac:dyDescent="0.25">
      <c r="A168" s="42" t="s">
        <v>1077</v>
      </c>
      <c r="B168" s="282">
        <f t="shared" si="38"/>
        <v>11</v>
      </c>
      <c r="C168" s="14"/>
      <c r="D168" s="13"/>
      <c r="E168" s="13"/>
      <c r="F168" s="359" t="s">
        <v>164</v>
      </c>
      <c r="G168" s="360"/>
      <c r="H168" s="11">
        <v>-15072.37</v>
      </c>
      <c r="I168" s="11">
        <v>-16283.37</v>
      </c>
      <c r="J168" s="336">
        <v>0</v>
      </c>
      <c r="K168" s="130">
        <v>-20002.169999999998</v>
      </c>
      <c r="L168" s="141"/>
      <c r="O168" s="88">
        <f t="shared" si="33"/>
        <v>0</v>
      </c>
      <c r="P168" s="123" t="str">
        <f t="shared" si="34"/>
        <v/>
      </c>
      <c r="Q168" s="88">
        <f t="shared" si="35"/>
        <v>-16283.37</v>
      </c>
      <c r="R168" s="123">
        <f t="shared" si="36"/>
        <v>0</v>
      </c>
      <c r="S168" s="88">
        <f t="shared" si="39"/>
        <v>-20002.169999999998</v>
      </c>
      <c r="T168" s="124">
        <f t="shared" si="40"/>
        <v>0</v>
      </c>
      <c r="U168" s="88">
        <f t="shared" si="41"/>
        <v>3718.7999999999975</v>
      </c>
      <c r="V168" s="124">
        <f t="shared" si="42"/>
        <v>1.2283802431560542</v>
      </c>
      <c r="W168" s="157">
        <f t="shared" si="37"/>
        <v>11</v>
      </c>
    </row>
    <row r="169" spans="1:23" ht="11.25" customHeight="1" x14ac:dyDescent="0.25">
      <c r="A169" s="38" t="s">
        <v>165</v>
      </c>
      <c r="B169" s="282">
        <f t="shared" si="38"/>
        <v>4</v>
      </c>
      <c r="C169" s="38"/>
      <c r="D169" s="22"/>
      <c r="E169" s="22"/>
      <c r="F169" s="365" t="s">
        <v>166</v>
      </c>
      <c r="G169" s="366"/>
      <c r="H169" s="37">
        <f t="shared" ref="H169:K169" si="49">H170+H172+H177</f>
        <v>-102050762.17</v>
      </c>
      <c r="I169" s="37">
        <f t="shared" si="49"/>
        <v>-101811485.70999999</v>
      </c>
      <c r="J169" s="128">
        <f t="shared" si="49"/>
        <v>-117000250.22578469</v>
      </c>
      <c r="K169" s="341">
        <f t="shared" si="49"/>
        <v>-109203843.96000001</v>
      </c>
      <c r="L169" s="139">
        <f>L170+L172+L177</f>
        <v>-107540000</v>
      </c>
      <c r="O169" s="175">
        <f t="shared" si="33"/>
        <v>-9460250.2257846892</v>
      </c>
      <c r="P169" s="176">
        <f t="shared" si="34"/>
        <v>0.91914333339006971</v>
      </c>
      <c r="Q169" s="175">
        <f t="shared" si="35"/>
        <v>5728514.2900000066</v>
      </c>
      <c r="R169" s="176">
        <f t="shared" si="36"/>
        <v>1.0562658942657719</v>
      </c>
      <c r="S169" s="175">
        <f t="shared" si="39"/>
        <v>-1663843.9600000083</v>
      </c>
      <c r="T169" s="177">
        <f t="shared" si="40"/>
        <v>0.98476387002815169</v>
      </c>
      <c r="U169" s="175">
        <f t="shared" si="41"/>
        <v>7392358.2500000149</v>
      </c>
      <c r="V169" s="177">
        <f t="shared" si="42"/>
        <v>1.0726082936365</v>
      </c>
      <c r="W169" s="157">
        <f t="shared" si="37"/>
        <v>4</v>
      </c>
    </row>
    <row r="170" spans="1:23" ht="11.25" customHeight="1" x14ac:dyDescent="0.25">
      <c r="A170" s="26" t="s">
        <v>1078</v>
      </c>
      <c r="B170" s="282">
        <f t="shared" si="38"/>
        <v>7</v>
      </c>
      <c r="C170" s="26"/>
      <c r="D170" s="23"/>
      <c r="E170" s="23"/>
      <c r="F170" s="361" t="s">
        <v>167</v>
      </c>
      <c r="G170" s="362"/>
      <c r="H170" s="25">
        <f t="shared" ref="H170:L170" si="50">SUM(H171)</f>
        <v>547527.25</v>
      </c>
      <c r="I170" s="25">
        <f t="shared" si="50"/>
        <v>523390.37</v>
      </c>
      <c r="J170" s="129">
        <f t="shared" si="50"/>
        <v>0</v>
      </c>
      <c r="K170" s="129">
        <f t="shared" si="50"/>
        <v>369235.31</v>
      </c>
      <c r="L170" s="140">
        <f t="shared" si="50"/>
        <v>0</v>
      </c>
      <c r="O170" s="88">
        <f t="shared" si="33"/>
        <v>0</v>
      </c>
      <c r="P170" s="123" t="str">
        <f t="shared" si="34"/>
        <v/>
      </c>
      <c r="Q170" s="88">
        <f t="shared" si="35"/>
        <v>523390.37</v>
      </c>
      <c r="R170" s="123">
        <f t="shared" si="36"/>
        <v>0</v>
      </c>
      <c r="S170" s="88">
        <f t="shared" si="39"/>
        <v>369235.31</v>
      </c>
      <c r="T170" s="124">
        <f t="shared" si="40"/>
        <v>0</v>
      </c>
      <c r="U170" s="88">
        <f t="shared" si="41"/>
        <v>154155.06</v>
      </c>
      <c r="V170" s="124">
        <f t="shared" si="42"/>
        <v>0.70546829128705602</v>
      </c>
      <c r="W170" s="157">
        <f t="shared" si="37"/>
        <v>7</v>
      </c>
    </row>
    <row r="171" spans="1:23" ht="11.25" customHeight="1" x14ac:dyDescent="0.25">
      <c r="A171" s="42" t="s">
        <v>1079</v>
      </c>
      <c r="B171" s="282">
        <f t="shared" si="38"/>
        <v>11</v>
      </c>
      <c r="C171" s="14"/>
      <c r="D171" s="13"/>
      <c r="E171" s="13"/>
      <c r="F171" s="359" t="s">
        <v>168</v>
      </c>
      <c r="G171" s="360"/>
      <c r="H171" s="11">
        <v>547527.25</v>
      </c>
      <c r="I171" s="11">
        <v>523390.37</v>
      </c>
      <c r="J171" s="336">
        <v>0</v>
      </c>
      <c r="K171" s="130">
        <v>369235.31</v>
      </c>
      <c r="L171" s="141"/>
      <c r="O171" s="88">
        <f t="shared" si="33"/>
        <v>0</v>
      </c>
      <c r="P171" s="123" t="str">
        <f t="shared" si="34"/>
        <v/>
      </c>
      <c r="Q171" s="88">
        <f t="shared" si="35"/>
        <v>523390.37</v>
      </c>
      <c r="R171" s="123">
        <f t="shared" si="36"/>
        <v>0</v>
      </c>
      <c r="S171" s="88">
        <f t="shared" si="39"/>
        <v>369235.31</v>
      </c>
      <c r="T171" s="124">
        <f t="shared" si="40"/>
        <v>0</v>
      </c>
      <c r="U171" s="88">
        <f t="shared" si="41"/>
        <v>154155.06</v>
      </c>
      <c r="V171" s="124">
        <f t="shared" si="42"/>
        <v>0.70546829128705602</v>
      </c>
      <c r="W171" s="157">
        <f t="shared" si="37"/>
        <v>11</v>
      </c>
    </row>
    <row r="172" spans="1:23" ht="11.25" customHeight="1" x14ac:dyDescent="0.25">
      <c r="A172" s="26" t="s">
        <v>1080</v>
      </c>
      <c r="B172" s="282">
        <f t="shared" si="38"/>
        <v>7</v>
      </c>
      <c r="C172" s="26"/>
      <c r="D172" s="23"/>
      <c r="E172" s="23"/>
      <c r="F172" s="361" t="s">
        <v>169</v>
      </c>
      <c r="G172" s="362"/>
      <c r="H172" s="25">
        <f t="shared" ref="H172:L172" si="51">SUM(H173:H176)</f>
        <v>-102050762.17</v>
      </c>
      <c r="I172" s="25">
        <f t="shared" si="51"/>
        <v>-101811485.70999999</v>
      </c>
      <c r="J172" s="129">
        <f t="shared" si="51"/>
        <v>-117000250.22578469</v>
      </c>
      <c r="K172" s="129">
        <f t="shared" si="51"/>
        <v>-109203843.96000001</v>
      </c>
      <c r="L172" s="140">
        <f t="shared" si="51"/>
        <v>-107540000</v>
      </c>
      <c r="O172" s="88">
        <f t="shared" si="33"/>
        <v>-9460250.2257846892</v>
      </c>
      <c r="P172" s="123">
        <f t="shared" si="34"/>
        <v>0.91914333339006971</v>
      </c>
      <c r="Q172" s="88">
        <f t="shared" si="35"/>
        <v>5728514.2900000066</v>
      </c>
      <c r="R172" s="123">
        <f t="shared" si="36"/>
        <v>1.0562658942657719</v>
      </c>
      <c r="S172" s="88">
        <f t="shared" si="39"/>
        <v>-1663843.9600000083</v>
      </c>
      <c r="T172" s="124">
        <f t="shared" si="40"/>
        <v>0.98476387002815169</v>
      </c>
      <c r="U172" s="88">
        <f t="shared" si="41"/>
        <v>7392358.2500000149</v>
      </c>
      <c r="V172" s="124">
        <f t="shared" si="42"/>
        <v>1.0726082936365</v>
      </c>
      <c r="W172" s="157">
        <f t="shared" si="37"/>
        <v>7</v>
      </c>
    </row>
    <row r="173" spans="1:23" ht="11.25" customHeight="1" x14ac:dyDescent="0.25">
      <c r="A173" s="42" t="s">
        <v>1081</v>
      </c>
      <c r="B173" s="282">
        <f t="shared" si="38"/>
        <v>11</v>
      </c>
      <c r="C173" s="20" t="s">
        <v>916</v>
      </c>
      <c r="D173" s="20" t="s">
        <v>919</v>
      </c>
      <c r="E173" s="20" t="s">
        <v>1089</v>
      </c>
      <c r="F173" s="359" t="s">
        <v>170</v>
      </c>
      <c r="G173" s="360"/>
      <c r="H173" s="11">
        <v>-31318503.25</v>
      </c>
      <c r="I173" s="11">
        <v>-32261471.149999999</v>
      </c>
      <c r="J173" s="336">
        <v>-42400497.133564502</v>
      </c>
      <c r="K173" s="130">
        <v>-43001327.030000001</v>
      </c>
      <c r="L173" s="142">
        <f>-43000000+4000000</f>
        <v>-39000000</v>
      </c>
      <c r="M173" s="105" t="s">
        <v>1742</v>
      </c>
      <c r="N173" s="105"/>
      <c r="O173" s="88">
        <f t="shared" si="33"/>
        <v>-3400497.133564502</v>
      </c>
      <c r="P173" s="123">
        <f t="shared" si="34"/>
        <v>0.91980053623303759</v>
      </c>
      <c r="Q173" s="88">
        <f t="shared" si="35"/>
        <v>6738528.8500000015</v>
      </c>
      <c r="R173" s="123">
        <f t="shared" si="36"/>
        <v>1.2088723362511633</v>
      </c>
      <c r="S173" s="88">
        <f t="shared" si="39"/>
        <v>-4001327.0300000012</v>
      </c>
      <c r="T173" s="124">
        <f t="shared" si="40"/>
        <v>0.90694875469288505</v>
      </c>
      <c r="U173" s="88">
        <f t="shared" si="41"/>
        <v>10739855.880000003</v>
      </c>
      <c r="V173" s="124">
        <f t="shared" si="42"/>
        <v>1.3329003761193947</v>
      </c>
      <c r="W173" s="157">
        <f t="shared" si="37"/>
        <v>11</v>
      </c>
    </row>
    <row r="174" spans="1:23" ht="11.25" customHeight="1" x14ac:dyDescent="0.25">
      <c r="A174" s="42" t="s">
        <v>1082</v>
      </c>
      <c r="B174" s="282">
        <f t="shared" si="38"/>
        <v>11</v>
      </c>
      <c r="C174" s="20" t="s">
        <v>916</v>
      </c>
      <c r="D174" s="20" t="s">
        <v>919</v>
      </c>
      <c r="E174" s="20" t="s">
        <v>1649</v>
      </c>
      <c r="F174" s="359" t="s">
        <v>171</v>
      </c>
      <c r="G174" s="360"/>
      <c r="H174" s="11">
        <v>-16128681</v>
      </c>
      <c r="I174" s="11">
        <v>-18042620</v>
      </c>
      <c r="J174" s="336">
        <v>-17750079.3416158</v>
      </c>
      <c r="K174" s="130">
        <v>-15933654</v>
      </c>
      <c r="L174" s="142">
        <v>-17350000</v>
      </c>
      <c r="M174" s="105" t="s">
        <v>1744</v>
      </c>
      <c r="N174" s="105"/>
      <c r="O174" s="88">
        <f t="shared" si="33"/>
        <v>-400079.34161579981</v>
      </c>
      <c r="P174" s="123">
        <f t="shared" si="34"/>
        <v>0.97746041953301033</v>
      </c>
      <c r="Q174" s="88">
        <f t="shared" si="35"/>
        <v>-692620</v>
      </c>
      <c r="R174" s="123">
        <f t="shared" si="36"/>
        <v>0.9616120053517726</v>
      </c>
      <c r="S174" s="88">
        <f t="shared" si="39"/>
        <v>1416346</v>
      </c>
      <c r="T174" s="124">
        <f t="shared" si="40"/>
        <v>1.0888902194060446</v>
      </c>
      <c r="U174" s="88">
        <f t="shared" si="41"/>
        <v>-2108966</v>
      </c>
      <c r="V174" s="124">
        <f t="shared" si="42"/>
        <v>0.88311198706174598</v>
      </c>
      <c r="W174" s="157">
        <f t="shared" si="37"/>
        <v>11</v>
      </c>
    </row>
    <row r="175" spans="1:23" ht="11.25" customHeight="1" x14ac:dyDescent="0.25">
      <c r="A175" s="42" t="s">
        <v>1083</v>
      </c>
      <c r="B175" s="282">
        <f t="shared" si="38"/>
        <v>11</v>
      </c>
      <c r="C175" s="20" t="s">
        <v>916</v>
      </c>
      <c r="D175" s="20" t="s">
        <v>919</v>
      </c>
      <c r="E175" s="20" t="s">
        <v>1089</v>
      </c>
      <c r="F175" s="359" t="s">
        <v>172</v>
      </c>
      <c r="G175" s="360"/>
      <c r="H175" s="11">
        <v>-53936823.649999999</v>
      </c>
      <c r="I175" s="11">
        <v>-50947252.649999999</v>
      </c>
      <c r="J175" s="336">
        <v>-55999977.909222402</v>
      </c>
      <c r="K175" s="130">
        <v>-49658489.200000003</v>
      </c>
      <c r="L175" s="142">
        <f>-54600000+2000000+2160000</f>
        <v>-50440000</v>
      </c>
      <c r="M175" s="105" t="s">
        <v>1743</v>
      </c>
      <c r="N175" s="105"/>
      <c r="O175" s="88">
        <f t="shared" si="33"/>
        <v>-5559977.9092224017</v>
      </c>
      <c r="P175" s="123">
        <f t="shared" si="34"/>
        <v>0.9007146410265503</v>
      </c>
      <c r="Q175" s="88">
        <f t="shared" si="35"/>
        <v>-507252.64999999851</v>
      </c>
      <c r="R175" s="123">
        <f t="shared" si="36"/>
        <v>0.99004357205510674</v>
      </c>
      <c r="S175" s="88">
        <f t="shared" si="39"/>
        <v>781510.79999999702</v>
      </c>
      <c r="T175" s="124">
        <f t="shared" si="40"/>
        <v>1.0157377079446066</v>
      </c>
      <c r="U175" s="88">
        <f t="shared" si="41"/>
        <v>-1288763.4499999955</v>
      </c>
      <c r="V175" s="124">
        <f t="shared" si="42"/>
        <v>0.97470396571030815</v>
      </c>
      <c r="W175" s="157">
        <f t="shared" si="37"/>
        <v>11</v>
      </c>
    </row>
    <row r="176" spans="1:23" ht="11.25" customHeight="1" x14ac:dyDescent="0.25">
      <c r="A176" s="42" t="s">
        <v>1084</v>
      </c>
      <c r="B176" s="282">
        <f t="shared" si="38"/>
        <v>11</v>
      </c>
      <c r="C176" s="20" t="s">
        <v>916</v>
      </c>
      <c r="D176" s="20" t="s">
        <v>919</v>
      </c>
      <c r="E176" s="20" t="s">
        <v>1089</v>
      </c>
      <c r="F176" s="359" t="s">
        <v>173</v>
      </c>
      <c r="G176" s="360"/>
      <c r="H176" s="11">
        <v>-666754.27</v>
      </c>
      <c r="I176" s="11">
        <v>-560141.91</v>
      </c>
      <c r="J176" s="336">
        <v>-849695.84138200001</v>
      </c>
      <c r="K176" s="130">
        <v>-610373.73</v>
      </c>
      <c r="L176" s="142">
        <v>-750000</v>
      </c>
      <c r="M176" s="105" t="s">
        <v>1701</v>
      </c>
      <c r="N176" s="105"/>
      <c r="O176" s="88">
        <f t="shared" si="33"/>
        <v>-99695.841382000013</v>
      </c>
      <c r="P176" s="123">
        <f t="shared" si="34"/>
        <v>0.88266878978735697</v>
      </c>
      <c r="Q176" s="88">
        <f t="shared" si="35"/>
        <v>189858.08999999997</v>
      </c>
      <c r="R176" s="123">
        <f t="shared" si="36"/>
        <v>1.3389464109193328</v>
      </c>
      <c r="S176" s="88">
        <f t="shared" si="39"/>
        <v>139626.27000000002</v>
      </c>
      <c r="T176" s="124">
        <f t="shared" si="40"/>
        <v>1.2287553725485532</v>
      </c>
      <c r="U176" s="88">
        <f t="shared" si="41"/>
        <v>50231.819999999949</v>
      </c>
      <c r="V176" s="124">
        <f t="shared" si="42"/>
        <v>1.0896769534705946</v>
      </c>
      <c r="W176" s="157">
        <f t="shared" si="37"/>
        <v>11</v>
      </c>
    </row>
    <row r="177" spans="1:23" ht="11.25" customHeight="1" x14ac:dyDescent="0.25">
      <c r="A177" s="26" t="s">
        <v>1085</v>
      </c>
      <c r="B177" s="282">
        <f t="shared" si="38"/>
        <v>7</v>
      </c>
      <c r="C177" s="26"/>
      <c r="D177" s="23"/>
      <c r="E177" s="23"/>
      <c r="F177" s="361" t="s">
        <v>174</v>
      </c>
      <c r="G177" s="362"/>
      <c r="H177" s="25">
        <f t="shared" ref="H177:L177" si="52">SUM(H178:H180)</f>
        <v>-547527.25</v>
      </c>
      <c r="I177" s="25">
        <f t="shared" si="52"/>
        <v>-523390.37</v>
      </c>
      <c r="J177" s="129">
        <f t="shared" si="52"/>
        <v>0</v>
      </c>
      <c r="K177" s="129">
        <f t="shared" si="52"/>
        <v>-369235.31000000006</v>
      </c>
      <c r="L177" s="140">
        <f t="shared" si="52"/>
        <v>0</v>
      </c>
      <c r="O177" s="88">
        <f t="shared" si="33"/>
        <v>0</v>
      </c>
      <c r="P177" s="123" t="str">
        <f t="shared" si="34"/>
        <v/>
      </c>
      <c r="Q177" s="88">
        <f t="shared" si="35"/>
        <v>-523390.37</v>
      </c>
      <c r="R177" s="123">
        <f t="shared" si="36"/>
        <v>0</v>
      </c>
      <c r="S177" s="88">
        <f t="shared" si="39"/>
        <v>-369235.31000000006</v>
      </c>
      <c r="T177" s="124">
        <f t="shared" si="40"/>
        <v>0</v>
      </c>
      <c r="U177" s="88">
        <f t="shared" si="41"/>
        <v>-154155.05999999994</v>
      </c>
      <c r="V177" s="124">
        <f t="shared" si="42"/>
        <v>0.70546829128705613</v>
      </c>
      <c r="W177" s="157">
        <f t="shared" si="37"/>
        <v>7</v>
      </c>
    </row>
    <row r="178" spans="1:23" ht="11.25" customHeight="1" x14ac:dyDescent="0.25">
      <c r="A178" s="42" t="s">
        <v>1086</v>
      </c>
      <c r="B178" s="282">
        <f t="shared" si="38"/>
        <v>11</v>
      </c>
      <c r="C178" s="14"/>
      <c r="D178" s="13"/>
      <c r="E178" s="13"/>
      <c r="F178" s="359" t="s">
        <v>175</v>
      </c>
      <c r="G178" s="360"/>
      <c r="H178" s="11">
        <v>-121143.55</v>
      </c>
      <c r="I178" s="11">
        <v>-118334.28</v>
      </c>
      <c r="J178" s="336">
        <v>0</v>
      </c>
      <c r="K178" s="130">
        <v>-153833.57</v>
      </c>
      <c r="L178" s="141"/>
      <c r="O178" s="88">
        <f t="shared" si="33"/>
        <v>0</v>
      </c>
      <c r="P178" s="123" t="str">
        <f t="shared" si="34"/>
        <v/>
      </c>
      <c r="Q178" s="88">
        <f t="shared" si="35"/>
        <v>-118334.28</v>
      </c>
      <c r="R178" s="123">
        <f t="shared" si="36"/>
        <v>0</v>
      </c>
      <c r="S178" s="88">
        <f t="shared" si="39"/>
        <v>-153833.57</v>
      </c>
      <c r="T178" s="124">
        <f t="shared" si="40"/>
        <v>0</v>
      </c>
      <c r="U178" s="88">
        <f t="shared" si="41"/>
        <v>35499.290000000008</v>
      </c>
      <c r="V178" s="124">
        <f t="shared" si="42"/>
        <v>1.2999916000671996</v>
      </c>
      <c r="W178" s="157">
        <f t="shared" si="37"/>
        <v>11</v>
      </c>
    </row>
    <row r="179" spans="1:23" ht="11.25" customHeight="1" x14ac:dyDescent="0.25">
      <c r="A179" s="42" t="s">
        <v>1087</v>
      </c>
      <c r="B179" s="282">
        <f t="shared" si="38"/>
        <v>11</v>
      </c>
      <c r="C179" s="14"/>
      <c r="D179" s="13"/>
      <c r="E179" s="13"/>
      <c r="F179" s="359" t="s">
        <v>176</v>
      </c>
      <c r="G179" s="360"/>
      <c r="H179" s="11">
        <v>-96453.02</v>
      </c>
      <c r="I179" s="11">
        <v>-91146.48</v>
      </c>
      <c r="J179" s="336">
        <v>0</v>
      </c>
      <c r="K179" s="130">
        <v>-48563.07</v>
      </c>
      <c r="L179" s="141"/>
      <c r="O179" s="88">
        <f t="shared" si="33"/>
        <v>0</v>
      </c>
      <c r="P179" s="123" t="str">
        <f t="shared" si="34"/>
        <v/>
      </c>
      <c r="Q179" s="88">
        <f t="shared" si="35"/>
        <v>-91146.48</v>
      </c>
      <c r="R179" s="123">
        <f t="shared" si="36"/>
        <v>0</v>
      </c>
      <c r="S179" s="88">
        <f t="shared" si="39"/>
        <v>-48563.07</v>
      </c>
      <c r="T179" s="124">
        <f t="shared" si="40"/>
        <v>0</v>
      </c>
      <c r="U179" s="88">
        <f t="shared" si="41"/>
        <v>-42583.409999999996</v>
      </c>
      <c r="V179" s="124">
        <f t="shared" si="42"/>
        <v>0.53280247355685051</v>
      </c>
      <c r="W179" s="157">
        <f t="shared" si="37"/>
        <v>11</v>
      </c>
    </row>
    <row r="180" spans="1:23" ht="11.25" customHeight="1" x14ac:dyDescent="0.25">
      <c r="A180" s="42" t="s">
        <v>1088</v>
      </c>
      <c r="B180" s="282">
        <f t="shared" si="38"/>
        <v>11</v>
      </c>
      <c r="C180" s="14"/>
      <c r="D180" s="13"/>
      <c r="E180" s="13"/>
      <c r="F180" s="359" t="s">
        <v>177</v>
      </c>
      <c r="G180" s="360"/>
      <c r="H180" s="11">
        <v>-329930.68</v>
      </c>
      <c r="I180" s="11">
        <v>-313909.61</v>
      </c>
      <c r="J180" s="336">
        <v>0</v>
      </c>
      <c r="K180" s="130">
        <v>-166838.67000000001</v>
      </c>
      <c r="L180" s="141"/>
      <c r="O180" s="88">
        <f t="shared" si="33"/>
        <v>0</v>
      </c>
      <c r="P180" s="123" t="str">
        <f t="shared" si="34"/>
        <v/>
      </c>
      <c r="Q180" s="88">
        <f t="shared" si="35"/>
        <v>-313909.61</v>
      </c>
      <c r="R180" s="123">
        <f t="shared" si="36"/>
        <v>0</v>
      </c>
      <c r="S180" s="88">
        <f t="shared" si="39"/>
        <v>-166838.67000000001</v>
      </c>
      <c r="T180" s="124">
        <f t="shared" si="40"/>
        <v>0</v>
      </c>
      <c r="U180" s="88">
        <f t="shared" si="41"/>
        <v>-147070.93999999997</v>
      </c>
      <c r="V180" s="124">
        <f t="shared" si="42"/>
        <v>0.53148634092470126</v>
      </c>
      <c r="W180" s="157">
        <f t="shared" si="37"/>
        <v>11</v>
      </c>
    </row>
    <row r="181" spans="1:23" ht="11.25" customHeight="1" x14ac:dyDescent="0.25">
      <c r="A181" s="38" t="s">
        <v>178</v>
      </c>
      <c r="B181" s="282">
        <f t="shared" si="38"/>
        <v>4</v>
      </c>
      <c r="C181" s="38"/>
      <c r="D181" s="22"/>
      <c r="E181" s="22"/>
      <c r="F181" s="365" t="s">
        <v>179</v>
      </c>
      <c r="G181" s="366"/>
      <c r="H181" s="37">
        <v>0</v>
      </c>
      <c r="I181" s="37">
        <v>0</v>
      </c>
      <c r="J181" s="128">
        <v>0</v>
      </c>
      <c r="K181" s="132">
        <v>0</v>
      </c>
      <c r="L181" s="147">
        <f t="shared" ref="L181" si="53">(K181/8)*12</f>
        <v>0</v>
      </c>
      <c r="O181" s="175">
        <f t="shared" si="33"/>
        <v>0</v>
      </c>
      <c r="P181" s="176" t="str">
        <f t="shared" si="34"/>
        <v/>
      </c>
      <c r="Q181" s="175">
        <f t="shared" si="35"/>
        <v>0</v>
      </c>
      <c r="R181" s="176" t="str">
        <f t="shared" si="36"/>
        <v/>
      </c>
      <c r="S181" s="175">
        <f t="shared" si="39"/>
        <v>0</v>
      </c>
      <c r="T181" s="177" t="str">
        <f t="shared" si="40"/>
        <v/>
      </c>
      <c r="U181" s="175">
        <f t="shared" si="41"/>
        <v>0</v>
      </c>
      <c r="V181" s="177" t="str">
        <f t="shared" si="42"/>
        <v/>
      </c>
      <c r="W181" s="157">
        <f t="shared" si="37"/>
        <v>4</v>
      </c>
    </row>
    <row r="182" spans="1:23" ht="11.25" customHeight="1" x14ac:dyDescent="0.25">
      <c r="A182" s="38" t="s">
        <v>180</v>
      </c>
      <c r="B182" s="282">
        <f t="shared" si="38"/>
        <v>4</v>
      </c>
      <c r="C182" s="38"/>
      <c r="D182" s="22"/>
      <c r="E182" s="22"/>
      <c r="F182" s="365" t="s">
        <v>181</v>
      </c>
      <c r="G182" s="366"/>
      <c r="H182" s="37">
        <f t="shared" ref="H182:K182" si="54">H183+H187+H189</f>
        <v>-288522961.61999989</v>
      </c>
      <c r="I182" s="37">
        <f t="shared" si="54"/>
        <v>-345840895.69999999</v>
      </c>
      <c r="J182" s="128">
        <f t="shared" si="54"/>
        <v>-360124000</v>
      </c>
      <c r="K182" s="341">
        <f t="shared" si="54"/>
        <v>-362493830.44000006</v>
      </c>
      <c r="L182" s="139">
        <f>L183+L187+L189</f>
        <v>-378457113.11259997</v>
      </c>
      <c r="O182" s="175">
        <f t="shared" si="33"/>
        <v>18333113.112599969</v>
      </c>
      <c r="P182" s="176">
        <f t="shared" si="34"/>
        <v>1.0509077792999078</v>
      </c>
      <c r="Q182" s="175">
        <f t="shared" si="35"/>
        <v>32616217.412599981</v>
      </c>
      <c r="R182" s="176">
        <f t="shared" si="36"/>
        <v>1.0943098916817893</v>
      </c>
      <c r="S182" s="175">
        <f t="shared" si="39"/>
        <v>15963282.672599912</v>
      </c>
      <c r="T182" s="177">
        <f t="shared" si="40"/>
        <v>1.0440373913487671</v>
      </c>
      <c r="U182" s="175">
        <f t="shared" si="41"/>
        <v>16652934.740000069</v>
      </c>
      <c r="V182" s="177">
        <f t="shared" si="42"/>
        <v>1.0481520113643403</v>
      </c>
      <c r="W182" s="157">
        <f t="shared" si="37"/>
        <v>4</v>
      </c>
    </row>
    <row r="183" spans="1:23" ht="11.25" customHeight="1" x14ac:dyDescent="0.25">
      <c r="A183" s="26" t="s">
        <v>1090</v>
      </c>
      <c r="B183" s="282">
        <f t="shared" si="38"/>
        <v>7</v>
      </c>
      <c r="C183" s="26"/>
      <c r="D183" s="23"/>
      <c r="E183" s="23"/>
      <c r="F183" s="361" t="s">
        <v>182</v>
      </c>
      <c r="G183" s="362"/>
      <c r="H183" s="25">
        <f t="shared" ref="H183:L183" si="55">SUM(H184:H186)</f>
        <v>-2119604.73</v>
      </c>
      <c r="I183" s="25">
        <f t="shared" si="55"/>
        <v>-3512081.7199999997</v>
      </c>
      <c r="J183" s="129">
        <f t="shared" si="55"/>
        <v>-3573999.9999999879</v>
      </c>
      <c r="K183" s="129">
        <f t="shared" si="55"/>
        <v>-3937243.36</v>
      </c>
      <c r="L183" s="129">
        <f t="shared" si="55"/>
        <v>-3801000</v>
      </c>
      <c r="M183" s="170"/>
      <c r="O183" s="88">
        <f t="shared" si="33"/>
        <v>227000.00000001211</v>
      </c>
      <c r="P183" s="123">
        <f t="shared" si="34"/>
        <v>1.0635142697258011</v>
      </c>
      <c r="Q183" s="88">
        <f t="shared" si="35"/>
        <v>288918.28000000026</v>
      </c>
      <c r="R183" s="123">
        <f t="shared" si="36"/>
        <v>1.0822641108704043</v>
      </c>
      <c r="S183" s="88">
        <f t="shared" si="39"/>
        <v>-136243.35999999987</v>
      </c>
      <c r="T183" s="124">
        <f t="shared" si="40"/>
        <v>0.96539625632894588</v>
      </c>
      <c r="U183" s="88">
        <f t="shared" si="41"/>
        <v>425161.64000000013</v>
      </c>
      <c r="V183" s="124">
        <f t="shared" si="42"/>
        <v>1.1210568756355703</v>
      </c>
      <c r="W183" s="157">
        <f t="shared" si="37"/>
        <v>7</v>
      </c>
    </row>
    <row r="184" spans="1:23" ht="11.25" customHeight="1" x14ac:dyDescent="0.25">
      <c r="A184" s="42" t="s">
        <v>1091</v>
      </c>
      <c r="B184" s="282">
        <f t="shared" si="38"/>
        <v>11</v>
      </c>
      <c r="C184" s="27" t="s">
        <v>916</v>
      </c>
      <c r="D184" s="28" t="s">
        <v>923</v>
      </c>
      <c r="E184" s="28" t="s">
        <v>917</v>
      </c>
      <c r="F184" s="359" t="s">
        <v>183</v>
      </c>
      <c r="G184" s="360"/>
      <c r="H184" s="11">
        <v>-1432866.01</v>
      </c>
      <c r="I184" s="11">
        <v>-2494116.37</v>
      </c>
      <c r="J184" s="336">
        <v>-2509000</v>
      </c>
      <c r="K184" s="130">
        <v>-2771216.15</v>
      </c>
      <c r="L184" s="142">
        <v>-2716000</v>
      </c>
      <c r="O184" s="88">
        <f t="shared" si="33"/>
        <v>207000</v>
      </c>
      <c r="P184" s="123">
        <f t="shared" si="34"/>
        <v>1.0825029892387406</v>
      </c>
      <c r="Q184" s="88">
        <f t="shared" si="35"/>
        <v>221883.62999999989</v>
      </c>
      <c r="R184" s="123">
        <f t="shared" si="36"/>
        <v>1.0889628217307277</v>
      </c>
      <c r="S184" s="88">
        <f t="shared" si="39"/>
        <v>-55216.149999999907</v>
      </c>
      <c r="T184" s="124">
        <f t="shared" si="40"/>
        <v>0.98007511972676697</v>
      </c>
      <c r="U184" s="88">
        <f t="shared" si="41"/>
        <v>277099.7799999998</v>
      </c>
      <c r="V184" s="124">
        <f t="shared" si="42"/>
        <v>1.1111013837738453</v>
      </c>
      <c r="W184" s="157">
        <f t="shared" si="37"/>
        <v>11</v>
      </c>
    </row>
    <row r="185" spans="1:23" ht="11.25" customHeight="1" x14ac:dyDescent="0.25">
      <c r="A185" s="42" t="s">
        <v>1092</v>
      </c>
      <c r="B185" s="282">
        <f t="shared" si="38"/>
        <v>11</v>
      </c>
      <c r="C185" s="27" t="s">
        <v>916</v>
      </c>
      <c r="D185" s="28" t="s">
        <v>919</v>
      </c>
      <c r="E185" s="28" t="s">
        <v>917</v>
      </c>
      <c r="F185" s="359" t="s">
        <v>184</v>
      </c>
      <c r="G185" s="360"/>
      <c r="H185" s="11">
        <v>-178312.9</v>
      </c>
      <c r="I185" s="11">
        <v>-224594.59</v>
      </c>
      <c r="J185" s="336">
        <v>-311999.99999999499</v>
      </c>
      <c r="K185" s="130">
        <v>-228458.37</v>
      </c>
      <c r="L185" s="142">
        <v>-230000</v>
      </c>
      <c r="O185" s="88">
        <f t="shared" si="33"/>
        <v>-81999.999999994994</v>
      </c>
      <c r="P185" s="123">
        <f t="shared" si="34"/>
        <v>0.73717948717949899</v>
      </c>
      <c r="Q185" s="88">
        <f t="shared" si="35"/>
        <v>5405.4100000000035</v>
      </c>
      <c r="R185" s="123">
        <f t="shared" si="36"/>
        <v>1.0240674096379614</v>
      </c>
      <c r="S185" s="88">
        <f t="shared" si="39"/>
        <v>1541.6300000000047</v>
      </c>
      <c r="T185" s="124">
        <f t="shared" si="40"/>
        <v>1.0067479690063446</v>
      </c>
      <c r="U185" s="88">
        <f t="shared" si="41"/>
        <v>3863.7799999999988</v>
      </c>
      <c r="V185" s="124">
        <f t="shared" si="42"/>
        <v>1.0172033529391782</v>
      </c>
      <c r="W185" s="157">
        <f t="shared" si="37"/>
        <v>11</v>
      </c>
    </row>
    <row r="186" spans="1:23" ht="11.25" customHeight="1" x14ac:dyDescent="0.25">
      <c r="A186" s="42" t="s">
        <v>1093</v>
      </c>
      <c r="B186" s="282">
        <f t="shared" si="38"/>
        <v>11</v>
      </c>
      <c r="C186" s="27" t="s">
        <v>916</v>
      </c>
      <c r="D186" s="28" t="s">
        <v>923</v>
      </c>
      <c r="E186" s="28" t="s">
        <v>917</v>
      </c>
      <c r="F186" s="359" t="s">
        <v>185</v>
      </c>
      <c r="G186" s="360"/>
      <c r="H186" s="11">
        <v>-508425.82</v>
      </c>
      <c r="I186" s="11">
        <v>-793370.76</v>
      </c>
      <c r="J186" s="336">
        <v>-752999.99999999302</v>
      </c>
      <c r="K186" s="130">
        <v>-937568.84</v>
      </c>
      <c r="L186" s="142">
        <v>-855000</v>
      </c>
      <c r="O186" s="88">
        <f t="shared" si="33"/>
        <v>102000.00000000698</v>
      </c>
      <c r="P186" s="123">
        <f t="shared" si="34"/>
        <v>1.1354581673306878</v>
      </c>
      <c r="Q186" s="88">
        <f t="shared" si="35"/>
        <v>61629.239999999991</v>
      </c>
      <c r="R186" s="123">
        <f t="shared" si="36"/>
        <v>1.0776802512862964</v>
      </c>
      <c r="S186" s="88">
        <f t="shared" si="39"/>
        <v>-82568.839999999967</v>
      </c>
      <c r="T186" s="124">
        <f t="shared" si="40"/>
        <v>0.91193303736502163</v>
      </c>
      <c r="U186" s="88">
        <f t="shared" si="41"/>
        <v>144198.07999999996</v>
      </c>
      <c r="V186" s="124">
        <f t="shared" si="42"/>
        <v>1.1817537112156742</v>
      </c>
      <c r="W186" s="157">
        <f t="shared" si="37"/>
        <v>11</v>
      </c>
    </row>
    <row r="187" spans="1:23" ht="11.25" customHeight="1" x14ac:dyDescent="0.25">
      <c r="A187" s="26" t="s">
        <v>1094</v>
      </c>
      <c r="B187" s="282">
        <f t="shared" si="38"/>
        <v>7</v>
      </c>
      <c r="C187" s="26"/>
      <c r="D187" s="23"/>
      <c r="E187" s="23"/>
      <c r="F187" s="361" t="s">
        <v>186</v>
      </c>
      <c r="G187" s="362"/>
      <c r="H187" s="25">
        <f t="shared" ref="H187:L187" si="56">SUM(H188)</f>
        <v>29310037.140000001</v>
      </c>
      <c r="I187" s="25">
        <f t="shared" si="56"/>
        <v>0</v>
      </c>
      <c r="J187" s="129">
        <f t="shared" si="56"/>
        <v>0</v>
      </c>
      <c r="K187" s="129">
        <f t="shared" si="56"/>
        <v>0</v>
      </c>
      <c r="L187" s="140">
        <f t="shared" si="56"/>
        <v>0</v>
      </c>
      <c r="O187" s="88">
        <f t="shared" si="33"/>
        <v>0</v>
      </c>
      <c r="P187" s="123" t="str">
        <f t="shared" si="34"/>
        <v/>
      </c>
      <c r="Q187" s="88">
        <f t="shared" si="35"/>
        <v>0</v>
      </c>
      <c r="R187" s="123" t="str">
        <f t="shared" si="36"/>
        <v/>
      </c>
      <c r="S187" s="88">
        <f t="shared" si="39"/>
        <v>0</v>
      </c>
      <c r="T187" s="124" t="str">
        <f t="shared" si="40"/>
        <v/>
      </c>
      <c r="U187" s="88">
        <f t="shared" si="41"/>
        <v>0</v>
      </c>
      <c r="V187" s="124" t="str">
        <f t="shared" si="42"/>
        <v/>
      </c>
      <c r="W187" s="157">
        <f t="shared" si="37"/>
        <v>7</v>
      </c>
    </row>
    <row r="188" spans="1:23" ht="11.25" customHeight="1" x14ac:dyDescent="0.25">
      <c r="A188" s="42" t="s">
        <v>1095</v>
      </c>
      <c r="B188" s="282">
        <f t="shared" si="38"/>
        <v>11</v>
      </c>
      <c r="C188" s="20" t="s">
        <v>922</v>
      </c>
      <c r="D188" s="20" t="s">
        <v>923</v>
      </c>
      <c r="E188" s="20" t="s">
        <v>922</v>
      </c>
      <c r="F188" s="359" t="s">
        <v>187</v>
      </c>
      <c r="G188" s="360"/>
      <c r="H188" s="11">
        <v>29310037.140000001</v>
      </c>
      <c r="I188" s="11">
        <v>0</v>
      </c>
      <c r="J188" s="336">
        <v>0</v>
      </c>
      <c r="K188" s="130">
        <v>0</v>
      </c>
      <c r="L188" s="141"/>
      <c r="O188" s="88">
        <f t="shared" si="33"/>
        <v>0</v>
      </c>
      <c r="P188" s="123" t="str">
        <f t="shared" si="34"/>
        <v/>
      </c>
      <c r="Q188" s="88">
        <f t="shared" si="35"/>
        <v>0</v>
      </c>
      <c r="R188" s="123" t="str">
        <f t="shared" si="36"/>
        <v/>
      </c>
      <c r="S188" s="88">
        <f t="shared" si="39"/>
        <v>0</v>
      </c>
      <c r="T188" s="124" t="str">
        <f t="shared" si="40"/>
        <v/>
      </c>
      <c r="U188" s="88">
        <f t="shared" si="41"/>
        <v>0</v>
      </c>
      <c r="V188" s="124" t="str">
        <f t="shared" si="42"/>
        <v/>
      </c>
      <c r="W188" s="157">
        <f t="shared" si="37"/>
        <v>11</v>
      </c>
    </row>
    <row r="189" spans="1:23" ht="11.25" customHeight="1" x14ac:dyDescent="0.25">
      <c r="A189" s="26" t="s">
        <v>1096</v>
      </c>
      <c r="B189" s="282">
        <f t="shared" si="38"/>
        <v>7</v>
      </c>
      <c r="C189" s="26"/>
      <c r="D189" s="23"/>
      <c r="E189" s="23"/>
      <c r="F189" s="361" t="s">
        <v>188</v>
      </c>
      <c r="G189" s="362"/>
      <c r="H189" s="25">
        <f t="shared" ref="H189:L189" si="57">SUM(H190:H207)</f>
        <v>-315713394.02999991</v>
      </c>
      <c r="I189" s="25">
        <f t="shared" si="57"/>
        <v>-342328813.97999996</v>
      </c>
      <c r="J189" s="129">
        <f t="shared" si="57"/>
        <v>-356550000</v>
      </c>
      <c r="K189" s="342">
        <f t="shared" si="57"/>
        <v>-358556587.08000004</v>
      </c>
      <c r="L189" s="140">
        <f t="shared" si="57"/>
        <v>-374656113.11259997</v>
      </c>
      <c r="M189" s="248">
        <f>+L189/J189</f>
        <v>1.0507814138622913</v>
      </c>
      <c r="N189" s="185"/>
      <c r="O189" s="88">
        <f t="shared" si="33"/>
        <v>18106113.112599969</v>
      </c>
      <c r="P189" s="123">
        <f t="shared" si="34"/>
        <v>1.0507814138622913</v>
      </c>
      <c r="Q189" s="88">
        <f t="shared" si="35"/>
        <v>32327299.132600009</v>
      </c>
      <c r="R189" s="123">
        <f t="shared" si="36"/>
        <v>1.0944334739362276</v>
      </c>
      <c r="S189" s="88">
        <f t="shared" si="39"/>
        <v>16099526.032599926</v>
      </c>
      <c r="T189" s="124">
        <f t="shared" si="40"/>
        <v>1.0449009350621909</v>
      </c>
      <c r="U189" s="88">
        <f t="shared" si="41"/>
        <v>16227773.100000083</v>
      </c>
      <c r="V189" s="124">
        <f t="shared" si="42"/>
        <v>1.0474040525871369</v>
      </c>
      <c r="W189" s="157">
        <f t="shared" si="37"/>
        <v>7</v>
      </c>
    </row>
    <row r="190" spans="1:23" ht="11.25" customHeight="1" x14ac:dyDescent="0.25">
      <c r="A190" s="42" t="s">
        <v>1097</v>
      </c>
      <c r="B190" s="282">
        <f t="shared" si="38"/>
        <v>11</v>
      </c>
      <c r="C190" s="20" t="s">
        <v>922</v>
      </c>
      <c r="D190" s="20" t="s">
        <v>923</v>
      </c>
      <c r="E190" s="20" t="s">
        <v>1114</v>
      </c>
      <c r="F190" s="359" t="s">
        <v>189</v>
      </c>
      <c r="G190" s="360"/>
      <c r="H190" s="11">
        <v>-25469376.829999998</v>
      </c>
      <c r="I190" s="11">
        <v>-30117002.609999999</v>
      </c>
      <c r="J190" s="336">
        <v>-31100000</v>
      </c>
      <c r="K190" s="130">
        <v>-34081266.329999998</v>
      </c>
      <c r="L190" s="142">
        <v>-35614923.314850003</v>
      </c>
      <c r="O190" s="88">
        <f t="shared" si="33"/>
        <v>4514923.3148500025</v>
      </c>
      <c r="P190" s="123">
        <f t="shared" si="34"/>
        <v>1.1451743831141481</v>
      </c>
      <c r="Q190" s="88">
        <f t="shared" si="35"/>
        <v>5497920.7048500031</v>
      </c>
      <c r="R190" s="123">
        <f t="shared" si="36"/>
        <v>1.1825520546000312</v>
      </c>
      <c r="S190" s="88">
        <f t="shared" si="39"/>
        <v>1533656.9848500043</v>
      </c>
      <c r="T190" s="124">
        <f t="shared" si="40"/>
        <v>1.0450000000000002</v>
      </c>
      <c r="U190" s="88">
        <f t="shared" si="41"/>
        <v>3964263.7199999988</v>
      </c>
      <c r="V190" s="124">
        <f t="shared" si="42"/>
        <v>1.1316287603828048</v>
      </c>
      <c r="W190" s="157">
        <f t="shared" si="37"/>
        <v>11</v>
      </c>
    </row>
    <row r="191" spans="1:23" ht="11.25" customHeight="1" x14ac:dyDescent="0.25">
      <c r="A191" s="42" t="s">
        <v>1098</v>
      </c>
      <c r="B191" s="282">
        <f t="shared" si="38"/>
        <v>11</v>
      </c>
      <c r="C191" s="20" t="s">
        <v>922</v>
      </c>
      <c r="D191" s="20" t="s">
        <v>923</v>
      </c>
      <c r="E191" s="20" t="s">
        <v>1114</v>
      </c>
      <c r="F191" s="359" t="s">
        <v>190</v>
      </c>
      <c r="G191" s="360"/>
      <c r="H191" s="11">
        <v>-1028481.45</v>
      </c>
      <c r="I191" s="11">
        <v>-1330787.06</v>
      </c>
      <c r="J191" s="336">
        <v>-1300000</v>
      </c>
      <c r="K191" s="130">
        <v>-1755947.58</v>
      </c>
      <c r="L191" s="142">
        <v>-1834965.2211000002</v>
      </c>
      <c r="O191" s="88">
        <f t="shared" si="33"/>
        <v>534965.2211000002</v>
      </c>
      <c r="P191" s="123">
        <f t="shared" si="34"/>
        <v>1.4115117085384616</v>
      </c>
      <c r="Q191" s="88">
        <f t="shared" si="35"/>
        <v>504178.16110000014</v>
      </c>
      <c r="R191" s="123">
        <f t="shared" si="36"/>
        <v>1.3788571261731386</v>
      </c>
      <c r="S191" s="88">
        <f t="shared" si="39"/>
        <v>79017.641100000124</v>
      </c>
      <c r="T191" s="124">
        <f t="shared" si="40"/>
        <v>1.0450000000000002</v>
      </c>
      <c r="U191" s="88">
        <f t="shared" si="41"/>
        <v>425160.52</v>
      </c>
      <c r="V191" s="124">
        <f t="shared" si="42"/>
        <v>1.319480503514965</v>
      </c>
      <c r="W191" s="157">
        <f t="shared" si="37"/>
        <v>11</v>
      </c>
    </row>
    <row r="192" spans="1:23" ht="11.25" customHeight="1" x14ac:dyDescent="0.25">
      <c r="A192" s="42" t="s">
        <v>1099</v>
      </c>
      <c r="B192" s="282">
        <f t="shared" si="38"/>
        <v>11</v>
      </c>
      <c r="C192" s="20" t="s">
        <v>922</v>
      </c>
      <c r="D192" s="20" t="s">
        <v>923</v>
      </c>
      <c r="E192" s="20" t="s">
        <v>1114</v>
      </c>
      <c r="F192" s="359" t="s">
        <v>191</v>
      </c>
      <c r="G192" s="360"/>
      <c r="H192" s="11">
        <v>-5784589.7999999998</v>
      </c>
      <c r="I192" s="11">
        <v>-4321242.3</v>
      </c>
      <c r="J192" s="336">
        <v>-4999999.9999999702</v>
      </c>
      <c r="K192" s="130">
        <v>-1337607.7</v>
      </c>
      <c r="L192" s="142">
        <v>-1397800.0464999997</v>
      </c>
      <c r="O192" s="88">
        <f t="shared" si="33"/>
        <v>-3602199.9534999705</v>
      </c>
      <c r="P192" s="123">
        <f t="shared" si="34"/>
        <v>0.27956000930000163</v>
      </c>
      <c r="Q192" s="88">
        <f t="shared" si="35"/>
        <v>-2923442.2535000001</v>
      </c>
      <c r="R192" s="123">
        <f t="shared" si="36"/>
        <v>0.32347180497145456</v>
      </c>
      <c r="S192" s="88">
        <f t="shared" si="39"/>
        <v>60192.346499999752</v>
      </c>
      <c r="T192" s="124">
        <f t="shared" si="40"/>
        <v>1.0449999999999997</v>
      </c>
      <c r="U192" s="88">
        <f t="shared" si="41"/>
        <v>-2983634.5999999996</v>
      </c>
      <c r="V192" s="124">
        <f t="shared" si="42"/>
        <v>0.30954239710187043</v>
      </c>
      <c r="W192" s="157">
        <f t="shared" si="37"/>
        <v>11</v>
      </c>
    </row>
    <row r="193" spans="1:23" ht="11.25" customHeight="1" x14ac:dyDescent="0.25">
      <c r="A193" s="42" t="s">
        <v>1100</v>
      </c>
      <c r="B193" s="282">
        <f t="shared" si="38"/>
        <v>11</v>
      </c>
      <c r="C193" s="20" t="s">
        <v>922</v>
      </c>
      <c r="D193" s="20" t="s">
        <v>923</v>
      </c>
      <c r="E193" s="20" t="s">
        <v>1114</v>
      </c>
      <c r="F193" s="359" t="s">
        <v>192</v>
      </c>
      <c r="G193" s="360"/>
      <c r="H193" s="11">
        <v>-134088181.5</v>
      </c>
      <c r="I193" s="11">
        <v>-148055292.44999999</v>
      </c>
      <c r="J193" s="336">
        <v>-260800000</v>
      </c>
      <c r="K193" s="130">
        <v>-259223614.09</v>
      </c>
      <c r="L193" s="142">
        <v>-270888676.72404999</v>
      </c>
      <c r="O193" s="88">
        <f t="shared" si="33"/>
        <v>10088676.724049985</v>
      </c>
      <c r="P193" s="123">
        <f t="shared" si="34"/>
        <v>1.0386835763958973</v>
      </c>
      <c r="Q193" s="88">
        <f t="shared" si="35"/>
        <v>122833384.27405</v>
      </c>
      <c r="R193" s="123">
        <f t="shared" si="36"/>
        <v>1.8296453456098658</v>
      </c>
      <c r="S193" s="88">
        <f t="shared" si="39"/>
        <v>11665062.634049982</v>
      </c>
      <c r="T193" s="124">
        <f t="shared" si="40"/>
        <v>1.0449999999999999</v>
      </c>
      <c r="U193" s="88">
        <f t="shared" si="41"/>
        <v>111168321.64000002</v>
      </c>
      <c r="V193" s="124">
        <f t="shared" si="42"/>
        <v>1.750856790057288</v>
      </c>
      <c r="W193" s="157">
        <f t="shared" si="37"/>
        <v>11</v>
      </c>
    </row>
    <row r="194" spans="1:23" ht="11.25" customHeight="1" x14ac:dyDescent="0.25">
      <c r="A194" s="42" t="s">
        <v>1101</v>
      </c>
      <c r="B194" s="282">
        <f t="shared" si="38"/>
        <v>11</v>
      </c>
      <c r="C194" s="20" t="s">
        <v>922</v>
      </c>
      <c r="D194" s="20" t="s">
        <v>923</v>
      </c>
      <c r="E194" s="20" t="s">
        <v>1114</v>
      </c>
      <c r="F194" s="359" t="s">
        <v>193</v>
      </c>
      <c r="G194" s="360"/>
      <c r="H194" s="11">
        <v>-4851313.87</v>
      </c>
      <c r="I194" s="11">
        <v>-5663212.2999999998</v>
      </c>
      <c r="J194" s="336">
        <v>-5999999.9999999898</v>
      </c>
      <c r="K194" s="130">
        <v>-6273063.8799999999</v>
      </c>
      <c r="L194" s="142">
        <v>-6555351.7545999987</v>
      </c>
      <c r="O194" s="88">
        <f t="shared" si="33"/>
        <v>555351.75460000895</v>
      </c>
      <c r="P194" s="123">
        <f t="shared" si="34"/>
        <v>1.0925586257666684</v>
      </c>
      <c r="Q194" s="88">
        <f t="shared" si="35"/>
        <v>892139.45459999889</v>
      </c>
      <c r="R194" s="123">
        <f t="shared" si="36"/>
        <v>1.1575324051687059</v>
      </c>
      <c r="S194" s="88">
        <f t="shared" si="39"/>
        <v>282287.87459999882</v>
      </c>
      <c r="T194" s="124">
        <f t="shared" si="40"/>
        <v>1.0449999999999997</v>
      </c>
      <c r="U194" s="88">
        <f t="shared" si="41"/>
        <v>609851.58000000007</v>
      </c>
      <c r="V194" s="124">
        <f t="shared" si="42"/>
        <v>1.1076865121231638</v>
      </c>
      <c r="W194" s="157">
        <f t="shared" si="37"/>
        <v>11</v>
      </c>
    </row>
    <row r="195" spans="1:23" ht="11.25" customHeight="1" x14ac:dyDescent="0.25">
      <c r="A195" s="42" t="s">
        <v>1102</v>
      </c>
      <c r="B195" s="282">
        <f t="shared" si="38"/>
        <v>11</v>
      </c>
      <c r="C195" s="20" t="s">
        <v>922</v>
      </c>
      <c r="D195" s="20" t="s">
        <v>923</v>
      </c>
      <c r="E195" s="20" t="s">
        <v>1114</v>
      </c>
      <c r="F195" s="359" t="s">
        <v>194</v>
      </c>
      <c r="G195" s="360"/>
      <c r="H195" s="11">
        <v>-18328123.760000002</v>
      </c>
      <c r="I195" s="11">
        <v>-20542578.649999999</v>
      </c>
      <c r="J195" s="336">
        <v>-38900000</v>
      </c>
      <c r="K195" s="130">
        <v>-40046927.600000001</v>
      </c>
      <c r="L195" s="142">
        <v>-41849039.342</v>
      </c>
      <c r="O195" s="88">
        <f t="shared" si="33"/>
        <v>2949039.3420000002</v>
      </c>
      <c r="P195" s="123">
        <f t="shared" si="34"/>
        <v>1.0758107800000001</v>
      </c>
      <c r="Q195" s="88">
        <f t="shared" si="35"/>
        <v>21306460.692000002</v>
      </c>
      <c r="R195" s="123">
        <f t="shared" si="36"/>
        <v>2.0371853044846442</v>
      </c>
      <c r="S195" s="88">
        <f t="shared" si="39"/>
        <v>1802111.7419999987</v>
      </c>
      <c r="T195" s="124">
        <f t="shared" si="40"/>
        <v>1.0449999999999999</v>
      </c>
      <c r="U195" s="88">
        <f t="shared" si="41"/>
        <v>19504348.950000003</v>
      </c>
      <c r="V195" s="124">
        <f t="shared" si="42"/>
        <v>1.9494596215164062</v>
      </c>
      <c r="W195" s="157">
        <f t="shared" si="37"/>
        <v>11</v>
      </c>
    </row>
    <row r="196" spans="1:23" ht="11.25" customHeight="1" x14ac:dyDescent="0.25">
      <c r="A196" s="42" t="s">
        <v>1103</v>
      </c>
      <c r="B196" s="282">
        <f t="shared" si="38"/>
        <v>11</v>
      </c>
      <c r="C196" s="20" t="s">
        <v>922</v>
      </c>
      <c r="D196" s="20" t="s">
        <v>923</v>
      </c>
      <c r="E196" s="20" t="s">
        <v>1114</v>
      </c>
      <c r="F196" s="359" t="s">
        <v>195</v>
      </c>
      <c r="G196" s="360"/>
      <c r="H196" s="11">
        <v>-761043.77</v>
      </c>
      <c r="I196" s="11">
        <v>-466724.64</v>
      </c>
      <c r="J196" s="336">
        <v>-499999.999999983</v>
      </c>
      <c r="K196" s="130">
        <v>-2369101.09</v>
      </c>
      <c r="L196" s="142">
        <v>-2475710.6390499999</v>
      </c>
      <c r="O196" s="88">
        <f t="shared" si="33"/>
        <v>1975710.6390500169</v>
      </c>
      <c r="P196" s="123">
        <f t="shared" si="34"/>
        <v>4.9514212781001685</v>
      </c>
      <c r="Q196" s="88">
        <f t="shared" si="35"/>
        <v>2008985.9990499998</v>
      </c>
      <c r="R196" s="123">
        <f t="shared" si="36"/>
        <v>5.3044352641206167</v>
      </c>
      <c r="S196" s="88">
        <f t="shared" si="39"/>
        <v>106609.54905000003</v>
      </c>
      <c r="T196" s="124">
        <f t="shared" si="40"/>
        <v>1.0449999999999999</v>
      </c>
      <c r="U196" s="88">
        <f t="shared" si="41"/>
        <v>1902376.4499999997</v>
      </c>
      <c r="V196" s="124">
        <f t="shared" si="42"/>
        <v>5.0760146068139873</v>
      </c>
      <c r="W196" s="157">
        <f t="shared" si="37"/>
        <v>11</v>
      </c>
    </row>
    <row r="197" spans="1:23" ht="11.25" customHeight="1" x14ac:dyDescent="0.25">
      <c r="A197" s="42" t="s">
        <v>1104</v>
      </c>
      <c r="B197" s="282">
        <f t="shared" si="38"/>
        <v>11</v>
      </c>
      <c r="C197" s="20" t="s">
        <v>922</v>
      </c>
      <c r="D197" s="20" t="s">
        <v>923</v>
      </c>
      <c r="E197" s="20" t="s">
        <v>1114</v>
      </c>
      <c r="F197" s="359" t="s">
        <v>196</v>
      </c>
      <c r="G197" s="360"/>
      <c r="H197" s="11">
        <v>-171073.09</v>
      </c>
      <c r="I197" s="11">
        <v>-164147.85</v>
      </c>
      <c r="J197" s="336">
        <v>-199999.99999999499</v>
      </c>
      <c r="K197" s="130">
        <v>-322091.06</v>
      </c>
      <c r="L197" s="142">
        <v>-336585.15769999992</v>
      </c>
      <c r="O197" s="88">
        <f t="shared" si="33"/>
        <v>136585.15770000493</v>
      </c>
      <c r="P197" s="123">
        <f t="shared" si="34"/>
        <v>1.6829257885000417</v>
      </c>
      <c r="Q197" s="88">
        <f t="shared" si="35"/>
        <v>172437.30769999992</v>
      </c>
      <c r="R197" s="123">
        <f t="shared" si="36"/>
        <v>2.0504999468466991</v>
      </c>
      <c r="S197" s="88">
        <f t="shared" si="39"/>
        <v>14494.097699999926</v>
      </c>
      <c r="T197" s="124">
        <f t="shared" si="40"/>
        <v>1.0449999999999997</v>
      </c>
      <c r="U197" s="88">
        <f t="shared" si="41"/>
        <v>157943.21</v>
      </c>
      <c r="V197" s="124">
        <f t="shared" si="42"/>
        <v>1.9622009060733965</v>
      </c>
      <c r="W197" s="157">
        <f t="shared" si="37"/>
        <v>11</v>
      </c>
    </row>
    <row r="198" spans="1:23" ht="11.25" customHeight="1" x14ac:dyDescent="0.25">
      <c r="A198" s="42" t="s">
        <v>1105</v>
      </c>
      <c r="B198" s="282">
        <f t="shared" si="38"/>
        <v>11</v>
      </c>
      <c r="C198" s="20" t="s">
        <v>922</v>
      </c>
      <c r="D198" s="20" t="s">
        <v>923</v>
      </c>
      <c r="E198" s="20" t="s">
        <v>1114</v>
      </c>
      <c r="F198" s="359" t="s">
        <v>197</v>
      </c>
      <c r="G198" s="360"/>
      <c r="H198" s="11">
        <v>-619828.5</v>
      </c>
      <c r="I198" s="11">
        <v>-603607.69999999995</v>
      </c>
      <c r="J198" s="336">
        <v>-1250000</v>
      </c>
      <c r="K198" s="130">
        <v>-850536.3</v>
      </c>
      <c r="L198" s="142">
        <v>-888810.43349999993</v>
      </c>
      <c r="O198" s="88">
        <f t="shared" si="33"/>
        <v>-361189.56650000007</v>
      </c>
      <c r="P198" s="123">
        <f t="shared" si="34"/>
        <v>0.71104834679999995</v>
      </c>
      <c r="Q198" s="88">
        <f t="shared" si="35"/>
        <v>285202.73349999997</v>
      </c>
      <c r="R198" s="123">
        <f t="shared" si="36"/>
        <v>1.4724968443908186</v>
      </c>
      <c r="S198" s="88">
        <f t="shared" si="39"/>
        <v>38274.13349999988</v>
      </c>
      <c r="T198" s="124">
        <f t="shared" si="40"/>
        <v>1.0449999999999999</v>
      </c>
      <c r="U198" s="88">
        <f t="shared" si="41"/>
        <v>246928.60000000009</v>
      </c>
      <c r="V198" s="124">
        <f t="shared" si="42"/>
        <v>1.4090878893692047</v>
      </c>
      <c r="W198" s="157">
        <f t="shared" si="37"/>
        <v>11</v>
      </c>
    </row>
    <row r="199" spans="1:23" ht="11.25" customHeight="1" x14ac:dyDescent="0.25">
      <c r="A199" s="42" t="s">
        <v>1106</v>
      </c>
      <c r="B199" s="282">
        <f t="shared" si="38"/>
        <v>11</v>
      </c>
      <c r="C199" s="20" t="s">
        <v>922</v>
      </c>
      <c r="D199" s="20" t="s">
        <v>923</v>
      </c>
      <c r="E199" s="20" t="s">
        <v>1114</v>
      </c>
      <c r="F199" s="359" t="s">
        <v>198</v>
      </c>
      <c r="G199" s="360"/>
      <c r="H199" s="11">
        <v>-1504122.23</v>
      </c>
      <c r="I199" s="11">
        <v>-1627417.53</v>
      </c>
      <c r="J199" s="336">
        <v>-1600000</v>
      </c>
      <c r="K199" s="130">
        <v>-1525110.18</v>
      </c>
      <c r="L199" s="142">
        <v>-1593740.0544999999</v>
      </c>
      <c r="O199" s="88">
        <f t="shared" si="33"/>
        <v>-6259.9455000001471</v>
      </c>
      <c r="P199" s="123">
        <f t="shared" si="34"/>
        <v>0.99608753406249995</v>
      </c>
      <c r="Q199" s="88">
        <f t="shared" si="35"/>
        <v>-33677.475500000175</v>
      </c>
      <c r="R199" s="123">
        <f t="shared" si="36"/>
        <v>0.97930618610209996</v>
      </c>
      <c r="S199" s="88">
        <f t="shared" si="39"/>
        <v>68629.874499999918</v>
      </c>
      <c r="T199" s="124">
        <f t="shared" si="40"/>
        <v>1.0449999451842882</v>
      </c>
      <c r="U199" s="88">
        <f t="shared" si="41"/>
        <v>-102307.35000000009</v>
      </c>
      <c r="V199" s="124">
        <f t="shared" si="42"/>
        <v>0.93713515547543591</v>
      </c>
      <c r="W199" s="157">
        <f t="shared" si="37"/>
        <v>11</v>
      </c>
    </row>
    <row r="200" spans="1:23" ht="11.25" customHeight="1" x14ac:dyDescent="0.25">
      <c r="A200" s="42" t="s">
        <v>1107</v>
      </c>
      <c r="B200" s="282">
        <f t="shared" si="38"/>
        <v>11</v>
      </c>
      <c r="C200" s="20" t="s">
        <v>922</v>
      </c>
      <c r="D200" s="20" t="s">
        <v>923</v>
      </c>
      <c r="E200" s="20" t="s">
        <v>1114</v>
      </c>
      <c r="F200" s="359" t="s">
        <v>199</v>
      </c>
      <c r="G200" s="360"/>
      <c r="H200" s="11">
        <v>-8154610.9400000004</v>
      </c>
      <c r="I200" s="11">
        <v>-9577668.4800000004</v>
      </c>
      <c r="J200" s="336">
        <v>-9700000</v>
      </c>
      <c r="K200" s="130">
        <v>-10737330.550000001</v>
      </c>
      <c r="L200" s="142">
        <v>-11220510.42475</v>
      </c>
      <c r="O200" s="88">
        <f t="shared" si="33"/>
        <v>1520510.4247500002</v>
      </c>
      <c r="P200" s="123">
        <f t="shared" si="34"/>
        <v>1.1567536520360826</v>
      </c>
      <c r="Q200" s="88">
        <f t="shared" si="35"/>
        <v>1642841.9447499998</v>
      </c>
      <c r="R200" s="123">
        <f t="shared" si="36"/>
        <v>1.1715283785589956</v>
      </c>
      <c r="S200" s="88">
        <f t="shared" si="39"/>
        <v>483179.87474999949</v>
      </c>
      <c r="T200" s="124">
        <f t="shared" si="40"/>
        <v>1.0449999999999999</v>
      </c>
      <c r="U200" s="88">
        <f t="shared" si="41"/>
        <v>1159662.0700000003</v>
      </c>
      <c r="V200" s="124">
        <f t="shared" si="42"/>
        <v>1.1210797880947327</v>
      </c>
      <c r="W200" s="157">
        <f t="shared" si="37"/>
        <v>11</v>
      </c>
    </row>
    <row r="201" spans="1:23" ht="11.25" customHeight="1" x14ac:dyDescent="0.25">
      <c r="A201" s="42" t="s">
        <v>1108</v>
      </c>
      <c r="B201" s="282">
        <f t="shared" si="38"/>
        <v>11</v>
      </c>
      <c r="C201" s="20" t="s">
        <v>922</v>
      </c>
      <c r="D201" s="20" t="s">
        <v>923</v>
      </c>
      <c r="E201" s="20" t="s">
        <v>1114</v>
      </c>
      <c r="F201" s="377" t="s">
        <v>1671</v>
      </c>
      <c r="G201" s="378"/>
      <c r="H201" s="11">
        <v>-89240.29</v>
      </c>
      <c r="I201" s="11">
        <v>-147297.37</v>
      </c>
      <c r="J201" s="336">
        <v>-199999.999999997</v>
      </c>
      <c r="K201" s="130">
        <v>-33990.720000000001</v>
      </c>
      <c r="L201" s="142">
        <v>0</v>
      </c>
      <c r="O201" s="88">
        <f t="shared" si="33"/>
        <v>-199999.999999997</v>
      </c>
      <c r="P201" s="123">
        <f t="shared" si="34"/>
        <v>0</v>
      </c>
      <c r="Q201" s="88">
        <f t="shared" si="35"/>
        <v>-147297.37</v>
      </c>
      <c r="R201" s="123">
        <f t="shared" si="36"/>
        <v>0</v>
      </c>
      <c r="S201" s="88">
        <f t="shared" si="39"/>
        <v>-33990.720000000001</v>
      </c>
      <c r="T201" s="124">
        <f t="shared" si="40"/>
        <v>0</v>
      </c>
      <c r="U201" s="88">
        <f t="shared" si="41"/>
        <v>-113306.65</v>
      </c>
      <c r="V201" s="124">
        <f t="shared" si="42"/>
        <v>0.23076257233920744</v>
      </c>
      <c r="W201" s="157">
        <f t="shared" si="37"/>
        <v>11</v>
      </c>
    </row>
    <row r="202" spans="1:23" ht="11.25" customHeight="1" x14ac:dyDescent="0.25">
      <c r="A202" s="42" t="s">
        <v>1109</v>
      </c>
      <c r="B202" s="282">
        <f t="shared" si="38"/>
        <v>11</v>
      </c>
      <c r="C202" s="20"/>
      <c r="D202" s="20"/>
      <c r="E202" s="20"/>
      <c r="F202" s="359" t="s">
        <v>200</v>
      </c>
      <c r="G202" s="360"/>
      <c r="H202" s="11">
        <v>-98741401.409999996</v>
      </c>
      <c r="I202" s="11">
        <v>-102111102.02</v>
      </c>
      <c r="J202" s="336">
        <v>0</v>
      </c>
      <c r="K202" s="130">
        <v>0</v>
      </c>
      <c r="L202" s="141"/>
      <c r="O202" s="88">
        <f t="shared" si="33"/>
        <v>0</v>
      </c>
      <c r="P202" s="123" t="str">
        <f t="shared" si="34"/>
        <v/>
      </c>
      <c r="Q202" s="88">
        <f t="shared" si="35"/>
        <v>-102111102.02</v>
      </c>
      <c r="R202" s="123">
        <f t="shared" si="36"/>
        <v>0</v>
      </c>
      <c r="S202" s="88">
        <f t="shared" si="39"/>
        <v>0</v>
      </c>
      <c r="T202" s="124" t="str">
        <f t="shared" si="40"/>
        <v/>
      </c>
      <c r="U202" s="88">
        <f t="shared" si="41"/>
        <v>-102111102.02</v>
      </c>
      <c r="V202" s="124">
        <f t="shared" si="42"/>
        <v>0</v>
      </c>
      <c r="W202" s="157">
        <f t="shared" si="37"/>
        <v>11</v>
      </c>
    </row>
    <row r="203" spans="1:23" ht="11.25" customHeight="1" x14ac:dyDescent="0.25">
      <c r="A203" s="42" t="s">
        <v>1110</v>
      </c>
      <c r="B203" s="282">
        <f t="shared" si="38"/>
        <v>11</v>
      </c>
      <c r="C203" s="20"/>
      <c r="D203" s="20"/>
      <c r="E203" s="20"/>
      <c r="F203" s="359" t="s">
        <v>201</v>
      </c>
      <c r="G203" s="360"/>
      <c r="H203" s="11">
        <v>-15049250.57</v>
      </c>
      <c r="I203" s="11">
        <v>-16839624.149999999</v>
      </c>
      <c r="J203" s="336">
        <v>0</v>
      </c>
      <c r="K203" s="130">
        <v>0</v>
      </c>
      <c r="L203" s="141"/>
      <c r="O203" s="88">
        <f t="shared" ref="O203:O266" si="58">-L203+J203</f>
        <v>0</v>
      </c>
      <c r="P203" s="123" t="str">
        <f t="shared" ref="P203:P266" si="59">IF(J203=0,"",L203/J203)</f>
        <v/>
      </c>
      <c r="Q203" s="88">
        <f t="shared" ref="Q203:Q266" si="60">-L203+I203</f>
        <v>-16839624.149999999</v>
      </c>
      <c r="R203" s="123">
        <f t="shared" ref="R203:R266" si="61">IF(I203=0,"",L203/I203)</f>
        <v>0</v>
      </c>
      <c r="S203" s="88">
        <f t="shared" si="39"/>
        <v>0</v>
      </c>
      <c r="T203" s="124" t="str">
        <f t="shared" si="40"/>
        <v/>
      </c>
      <c r="U203" s="88">
        <f t="shared" si="41"/>
        <v>-16839624.149999999</v>
      </c>
      <c r="V203" s="124">
        <f t="shared" si="42"/>
        <v>0</v>
      </c>
      <c r="W203" s="157">
        <f t="shared" ref="W203:W266" si="62">LEN(A203)</f>
        <v>11</v>
      </c>
    </row>
    <row r="204" spans="1:23" ht="11.25" customHeight="1" x14ac:dyDescent="0.25">
      <c r="A204" s="83" t="s">
        <v>1634</v>
      </c>
      <c r="B204" s="282">
        <f t="shared" ref="B204:B267" si="63">LEN(A204)</f>
        <v>11</v>
      </c>
      <c r="C204" s="21" t="s">
        <v>922</v>
      </c>
      <c r="D204" s="21" t="s">
        <v>923</v>
      </c>
      <c r="E204" s="21" t="s">
        <v>1114</v>
      </c>
      <c r="F204" s="371" t="s">
        <v>1635</v>
      </c>
      <c r="G204" s="372"/>
      <c r="H204" s="19"/>
      <c r="I204" s="19"/>
      <c r="J204" s="338"/>
      <c r="K204" s="131">
        <v>0</v>
      </c>
      <c r="L204" s="144">
        <v>0</v>
      </c>
      <c r="O204" s="88">
        <f t="shared" si="58"/>
        <v>0</v>
      </c>
      <c r="P204" s="123" t="str">
        <f t="shared" si="59"/>
        <v/>
      </c>
      <c r="Q204" s="88">
        <f t="shared" si="60"/>
        <v>0</v>
      </c>
      <c r="R204" s="123" t="str">
        <f t="shared" si="61"/>
        <v/>
      </c>
      <c r="S204" s="88">
        <f t="shared" ref="S204:S267" si="64">-L204+K204</f>
        <v>0</v>
      </c>
      <c r="T204" s="124" t="str">
        <f t="shared" si="40"/>
        <v/>
      </c>
      <c r="U204" s="88">
        <f t="shared" si="41"/>
        <v>0</v>
      </c>
      <c r="V204" s="124" t="str">
        <f t="shared" si="42"/>
        <v/>
      </c>
      <c r="W204" s="157">
        <f t="shared" si="62"/>
        <v>11</v>
      </c>
    </row>
    <row r="205" spans="1:23" ht="11.25" customHeight="1" x14ac:dyDescent="0.25">
      <c r="A205" s="42" t="s">
        <v>1111</v>
      </c>
      <c r="B205" s="282">
        <f t="shared" si="63"/>
        <v>11</v>
      </c>
      <c r="C205" s="20" t="s">
        <v>922</v>
      </c>
      <c r="D205" s="20" t="s">
        <v>923</v>
      </c>
      <c r="E205" s="20" t="s">
        <v>1114</v>
      </c>
      <c r="F205" s="359" t="s">
        <v>202</v>
      </c>
      <c r="G205" s="360"/>
      <c r="H205" s="11">
        <v>0</v>
      </c>
      <c r="I205" s="11">
        <v>-4491</v>
      </c>
      <c r="J205" s="336">
        <v>0</v>
      </c>
      <c r="K205" s="130">
        <v>0</v>
      </c>
      <c r="L205" s="142">
        <v>0</v>
      </c>
      <c r="O205" s="88">
        <f t="shared" si="58"/>
        <v>0</v>
      </c>
      <c r="P205" s="123" t="str">
        <f t="shared" si="59"/>
        <v/>
      </c>
      <c r="Q205" s="88">
        <f t="shared" si="60"/>
        <v>-4491</v>
      </c>
      <c r="R205" s="123">
        <f t="shared" si="61"/>
        <v>0</v>
      </c>
      <c r="S205" s="88">
        <f t="shared" si="64"/>
        <v>0</v>
      </c>
      <c r="T205" s="124" t="str">
        <f t="shared" ref="T205:T268" si="65">IF(K205=0,"",L205/K205)</f>
        <v/>
      </c>
      <c r="U205" s="88">
        <f t="shared" ref="U205:U268" si="66">-K205+I205</f>
        <v>-4491</v>
      </c>
      <c r="V205" s="124">
        <f t="shared" ref="V205:V268" si="67">IF(I205=0,"",K205/I205)</f>
        <v>0</v>
      </c>
      <c r="W205" s="157">
        <f t="shared" si="62"/>
        <v>11</v>
      </c>
    </row>
    <row r="206" spans="1:23" ht="11.25" customHeight="1" x14ac:dyDescent="0.25">
      <c r="A206" s="42" t="s">
        <v>1112</v>
      </c>
      <c r="B206" s="282">
        <f t="shared" si="63"/>
        <v>11</v>
      </c>
      <c r="C206" s="20"/>
      <c r="D206" s="20"/>
      <c r="E206" s="20"/>
      <c r="F206" s="359" t="s">
        <v>203</v>
      </c>
      <c r="G206" s="360"/>
      <c r="H206" s="11">
        <v>-370431.95</v>
      </c>
      <c r="I206" s="11">
        <v>-116446.44</v>
      </c>
      <c r="J206" s="336">
        <v>0</v>
      </c>
      <c r="K206" s="130">
        <v>0</v>
      </c>
      <c r="L206" s="141"/>
      <c r="O206" s="88">
        <f t="shared" si="58"/>
        <v>0</v>
      </c>
      <c r="P206" s="123" t="str">
        <f t="shared" si="59"/>
        <v/>
      </c>
      <c r="Q206" s="88">
        <f t="shared" si="60"/>
        <v>-116446.44</v>
      </c>
      <c r="R206" s="123">
        <f t="shared" si="61"/>
        <v>0</v>
      </c>
      <c r="S206" s="88">
        <f t="shared" si="64"/>
        <v>0</v>
      </c>
      <c r="T206" s="124" t="str">
        <f t="shared" si="65"/>
        <v/>
      </c>
      <c r="U206" s="88">
        <f t="shared" si="66"/>
        <v>-116446.44</v>
      </c>
      <c r="V206" s="124">
        <f t="shared" si="67"/>
        <v>0</v>
      </c>
      <c r="W206" s="157">
        <f t="shared" si="62"/>
        <v>11</v>
      </c>
    </row>
    <row r="207" spans="1:23" ht="11.25" customHeight="1" x14ac:dyDescent="0.25">
      <c r="A207" s="42" t="s">
        <v>1113</v>
      </c>
      <c r="B207" s="282">
        <f t="shared" si="63"/>
        <v>11</v>
      </c>
      <c r="C207" s="20"/>
      <c r="D207" s="20"/>
      <c r="E207" s="20"/>
      <c r="F207" s="359" t="s">
        <v>204</v>
      </c>
      <c r="G207" s="360"/>
      <c r="H207" s="11">
        <v>-702324.07</v>
      </c>
      <c r="I207" s="11">
        <v>-640171.43000000005</v>
      </c>
      <c r="J207" s="336">
        <v>0</v>
      </c>
      <c r="K207" s="130">
        <v>0</v>
      </c>
      <c r="L207" s="141"/>
      <c r="O207" s="88">
        <f t="shared" si="58"/>
        <v>0</v>
      </c>
      <c r="P207" s="123" t="str">
        <f t="shared" si="59"/>
        <v/>
      </c>
      <c r="Q207" s="88">
        <f t="shared" si="60"/>
        <v>-640171.43000000005</v>
      </c>
      <c r="R207" s="123">
        <f t="shared" si="61"/>
        <v>0</v>
      </c>
      <c r="S207" s="88">
        <f t="shared" si="64"/>
        <v>0</v>
      </c>
      <c r="T207" s="124" t="str">
        <f t="shared" si="65"/>
        <v/>
      </c>
      <c r="U207" s="88">
        <f t="shared" si="66"/>
        <v>-640171.43000000005</v>
      </c>
      <c r="V207" s="124">
        <f t="shared" si="67"/>
        <v>0</v>
      </c>
      <c r="W207" s="157">
        <f t="shared" si="62"/>
        <v>11</v>
      </c>
    </row>
    <row r="208" spans="1:23" ht="11.25" customHeight="1" x14ac:dyDescent="0.25">
      <c r="A208" s="38" t="s">
        <v>205</v>
      </c>
      <c r="B208" s="282">
        <f t="shared" si="63"/>
        <v>4</v>
      </c>
      <c r="C208" s="38"/>
      <c r="D208" s="22"/>
      <c r="E208" s="22"/>
      <c r="F208" s="365" t="s">
        <v>1952</v>
      </c>
      <c r="G208" s="366"/>
      <c r="H208" s="37">
        <f t="shared" ref="H208:L208" si="68">H209+H214+H218</f>
        <v>114817954.06</v>
      </c>
      <c r="I208" s="37">
        <f t="shared" si="68"/>
        <v>115074071.73</v>
      </c>
      <c r="J208" s="128">
        <f t="shared" si="68"/>
        <v>119426999.99999997</v>
      </c>
      <c r="K208" s="341">
        <f t="shared" si="68"/>
        <v>119469776.3</v>
      </c>
      <c r="L208" s="139">
        <f t="shared" si="68"/>
        <v>123569000</v>
      </c>
      <c r="O208" s="175">
        <f t="shared" si="58"/>
        <v>-4142000.0000000298</v>
      </c>
      <c r="P208" s="176">
        <f t="shared" si="59"/>
        <v>1.0346822745275359</v>
      </c>
      <c r="Q208" s="175">
        <f t="shared" si="60"/>
        <v>-8494928.2699999958</v>
      </c>
      <c r="R208" s="176">
        <f t="shared" si="61"/>
        <v>1.0738213929714051</v>
      </c>
      <c r="S208" s="175">
        <f t="shared" si="64"/>
        <v>-4099223.700000003</v>
      </c>
      <c r="T208" s="177">
        <f t="shared" si="65"/>
        <v>1.0343118052695308</v>
      </c>
      <c r="U208" s="175">
        <f t="shared" si="66"/>
        <v>-4395704.5699999928</v>
      </c>
      <c r="V208" s="177">
        <f t="shared" si="67"/>
        <v>1.0381989140030927</v>
      </c>
      <c r="W208" s="157">
        <f t="shared" si="62"/>
        <v>4</v>
      </c>
    </row>
    <row r="209" spans="1:23" ht="11.25" customHeight="1" x14ac:dyDescent="0.25">
      <c r="A209" s="26" t="s">
        <v>1115</v>
      </c>
      <c r="B209" s="282">
        <f t="shared" si="63"/>
        <v>7</v>
      </c>
      <c r="C209" s="26"/>
      <c r="D209" s="23"/>
      <c r="E209" s="23"/>
      <c r="F209" s="361" t="s">
        <v>207</v>
      </c>
      <c r="G209" s="362"/>
      <c r="H209" s="25">
        <f t="shared" ref="H209:L209" si="69">SUM(H210:H213)</f>
        <v>108276423.91</v>
      </c>
      <c r="I209" s="25">
        <f t="shared" si="69"/>
        <v>107306478.59</v>
      </c>
      <c r="J209" s="129">
        <f t="shared" si="69"/>
        <v>111027000</v>
      </c>
      <c r="K209" s="342">
        <f t="shared" si="69"/>
        <v>110390898.56</v>
      </c>
      <c r="L209" s="140">
        <f t="shared" si="69"/>
        <v>114318000</v>
      </c>
      <c r="O209" s="88">
        <f t="shared" si="58"/>
        <v>-3291000</v>
      </c>
      <c r="P209" s="123">
        <f t="shared" si="59"/>
        <v>1.0296414385689967</v>
      </c>
      <c r="Q209" s="88">
        <f t="shared" si="60"/>
        <v>-7011521.4099999964</v>
      </c>
      <c r="R209" s="123">
        <f t="shared" si="61"/>
        <v>1.0653410819377442</v>
      </c>
      <c r="S209" s="88">
        <f t="shared" si="64"/>
        <v>-3927101.4399999976</v>
      </c>
      <c r="T209" s="124">
        <f t="shared" si="65"/>
        <v>1.0355745037972086</v>
      </c>
      <c r="U209" s="88">
        <f t="shared" si="66"/>
        <v>-3084419.9699999988</v>
      </c>
      <c r="V209" s="124">
        <f t="shared" si="67"/>
        <v>1.0287440237582024</v>
      </c>
      <c r="W209" s="157">
        <f t="shared" si="62"/>
        <v>7</v>
      </c>
    </row>
    <row r="210" spans="1:23" ht="11.25" customHeight="1" x14ac:dyDescent="0.25">
      <c r="A210" s="42" t="s">
        <v>1116</v>
      </c>
      <c r="B210" s="282">
        <f t="shared" si="63"/>
        <v>11</v>
      </c>
      <c r="C210" s="14"/>
      <c r="D210" s="13"/>
      <c r="E210" s="13"/>
      <c r="F210" s="359" t="s">
        <v>208</v>
      </c>
      <c r="G210" s="360"/>
      <c r="H210" s="11">
        <v>-93545.5</v>
      </c>
      <c r="I210" s="11">
        <v>-66040.5</v>
      </c>
      <c r="J210" s="336">
        <v>0</v>
      </c>
      <c r="K210" s="130">
        <v>-326.91000000000003</v>
      </c>
      <c r="L210" s="141"/>
      <c r="O210" s="88">
        <f t="shared" si="58"/>
        <v>0</v>
      </c>
      <c r="P210" s="123" t="str">
        <f t="shared" si="59"/>
        <v/>
      </c>
      <c r="Q210" s="88">
        <f t="shared" si="60"/>
        <v>-66040.5</v>
      </c>
      <c r="R210" s="123">
        <f t="shared" si="61"/>
        <v>0</v>
      </c>
      <c r="S210" s="88">
        <f t="shared" si="64"/>
        <v>-326.91000000000003</v>
      </c>
      <c r="T210" s="124">
        <f t="shared" si="65"/>
        <v>0</v>
      </c>
      <c r="U210" s="88">
        <f t="shared" si="66"/>
        <v>-65713.59</v>
      </c>
      <c r="V210" s="124">
        <f t="shared" si="67"/>
        <v>4.9501442296772443E-3</v>
      </c>
      <c r="W210" s="157">
        <f t="shared" si="62"/>
        <v>11</v>
      </c>
    </row>
    <row r="211" spans="1:23" ht="11.25" customHeight="1" x14ac:dyDescent="0.25">
      <c r="A211" s="42" t="s">
        <v>1117</v>
      </c>
      <c r="B211" s="282">
        <f t="shared" si="63"/>
        <v>11</v>
      </c>
      <c r="C211" s="27" t="s">
        <v>916</v>
      </c>
      <c r="D211" s="28" t="s">
        <v>923</v>
      </c>
      <c r="E211" s="28" t="s">
        <v>917</v>
      </c>
      <c r="F211" s="359" t="s">
        <v>209</v>
      </c>
      <c r="G211" s="360"/>
      <c r="H211" s="11">
        <v>575917.91</v>
      </c>
      <c r="I211" s="11">
        <v>854733.09</v>
      </c>
      <c r="J211" s="336">
        <v>826999.99999999499</v>
      </c>
      <c r="K211" s="130">
        <v>1010615.47</v>
      </c>
      <c r="L211" s="142">
        <v>990000</v>
      </c>
      <c r="O211" s="88">
        <f t="shared" si="58"/>
        <v>-163000.00000000501</v>
      </c>
      <c r="P211" s="123">
        <f t="shared" si="59"/>
        <v>1.1970979443772745</v>
      </c>
      <c r="Q211" s="88">
        <f t="shared" si="60"/>
        <v>-135266.91000000003</v>
      </c>
      <c r="R211" s="123">
        <f t="shared" si="61"/>
        <v>1.1582563160155646</v>
      </c>
      <c r="S211" s="88">
        <f t="shared" si="64"/>
        <v>20615.469999999972</v>
      </c>
      <c r="T211" s="124">
        <f t="shared" si="65"/>
        <v>0.97960107418502118</v>
      </c>
      <c r="U211" s="88">
        <f t="shared" si="66"/>
        <v>-155882.38</v>
      </c>
      <c r="V211" s="124">
        <f t="shared" si="67"/>
        <v>1.182375506253069</v>
      </c>
      <c r="W211" s="157">
        <f t="shared" si="62"/>
        <v>11</v>
      </c>
    </row>
    <row r="212" spans="1:23" ht="11.25" customHeight="1" x14ac:dyDescent="0.25">
      <c r="A212" s="42" t="s">
        <v>1118</v>
      </c>
      <c r="B212" s="282">
        <f t="shared" si="63"/>
        <v>11</v>
      </c>
      <c r="C212" s="20" t="s">
        <v>922</v>
      </c>
      <c r="D212" s="20" t="s">
        <v>919</v>
      </c>
      <c r="E212" s="20" t="s">
        <v>924</v>
      </c>
      <c r="F212" s="359" t="s">
        <v>210</v>
      </c>
      <c r="G212" s="360"/>
      <c r="H212" s="11">
        <v>65260193.5</v>
      </c>
      <c r="I212" s="11">
        <v>63683711</v>
      </c>
      <c r="J212" s="336">
        <v>67400000</v>
      </c>
      <c r="K212" s="130">
        <v>66999547</v>
      </c>
      <c r="L212" s="142">
        <v>70359000</v>
      </c>
      <c r="O212" s="88">
        <f t="shared" si="58"/>
        <v>-2959000</v>
      </c>
      <c r="P212" s="123">
        <f t="shared" si="59"/>
        <v>1.0439020771513352</v>
      </c>
      <c r="Q212" s="88">
        <f t="shared" si="60"/>
        <v>-6675289</v>
      </c>
      <c r="R212" s="123">
        <f t="shared" si="61"/>
        <v>1.1048194097859656</v>
      </c>
      <c r="S212" s="88">
        <f t="shared" si="64"/>
        <v>-3359453</v>
      </c>
      <c r="T212" s="124">
        <f t="shared" si="65"/>
        <v>1.0501414285681663</v>
      </c>
      <c r="U212" s="88">
        <f t="shared" si="66"/>
        <v>-3315836</v>
      </c>
      <c r="V212" s="124">
        <f t="shared" si="67"/>
        <v>1.0520672546862102</v>
      </c>
      <c r="W212" s="157">
        <f t="shared" si="62"/>
        <v>11</v>
      </c>
    </row>
    <row r="213" spans="1:23" ht="11.25" customHeight="1" x14ac:dyDescent="0.25">
      <c r="A213" s="42" t="s">
        <v>1119</v>
      </c>
      <c r="B213" s="282">
        <f t="shared" si="63"/>
        <v>11</v>
      </c>
      <c r="C213" s="20" t="s">
        <v>922</v>
      </c>
      <c r="D213" s="20" t="s">
        <v>919</v>
      </c>
      <c r="E213" s="20" t="s">
        <v>924</v>
      </c>
      <c r="F213" s="359" t="s">
        <v>211</v>
      </c>
      <c r="G213" s="360"/>
      <c r="H213" s="11">
        <v>42533858</v>
      </c>
      <c r="I213" s="11">
        <v>42834075</v>
      </c>
      <c r="J213" s="336">
        <v>42800000</v>
      </c>
      <c r="K213" s="130">
        <v>42381063</v>
      </c>
      <c r="L213" s="142">
        <v>42969000</v>
      </c>
      <c r="O213" s="88">
        <f t="shared" si="58"/>
        <v>-169000</v>
      </c>
      <c r="P213" s="123">
        <f t="shared" si="59"/>
        <v>1.0039485981308411</v>
      </c>
      <c r="Q213" s="88">
        <f t="shared" si="60"/>
        <v>-134925</v>
      </c>
      <c r="R213" s="123">
        <f t="shared" si="61"/>
        <v>1.003149945458143</v>
      </c>
      <c r="S213" s="88">
        <f t="shared" si="64"/>
        <v>-587937</v>
      </c>
      <c r="T213" s="124">
        <f t="shared" si="65"/>
        <v>1.0138726345773819</v>
      </c>
      <c r="U213" s="88">
        <f t="shared" si="66"/>
        <v>453012</v>
      </c>
      <c r="V213" s="124">
        <f t="shared" si="67"/>
        <v>0.98942402748279257</v>
      </c>
      <c r="W213" s="157">
        <f t="shared" si="62"/>
        <v>11</v>
      </c>
    </row>
    <row r="214" spans="1:23" ht="11.25" customHeight="1" x14ac:dyDescent="0.25">
      <c r="A214" s="26" t="s">
        <v>1120</v>
      </c>
      <c r="B214" s="282">
        <f t="shared" si="63"/>
        <v>7</v>
      </c>
      <c r="C214" s="26"/>
      <c r="D214" s="23"/>
      <c r="E214" s="23"/>
      <c r="F214" s="361" t="s">
        <v>212</v>
      </c>
      <c r="G214" s="362"/>
      <c r="H214" s="25">
        <f t="shared" ref="H214:L214" si="70">SUM(H215:H217)</f>
        <v>6447984.6499999994</v>
      </c>
      <c r="I214" s="25">
        <f t="shared" si="70"/>
        <v>7701552.6399999997</v>
      </c>
      <c r="J214" s="129">
        <f t="shared" si="70"/>
        <v>8399999.9999999683</v>
      </c>
      <c r="K214" s="342">
        <f t="shared" si="70"/>
        <v>9078550.8300000001</v>
      </c>
      <c r="L214" s="140">
        <f t="shared" si="70"/>
        <v>9251000</v>
      </c>
      <c r="O214" s="88">
        <f t="shared" si="58"/>
        <v>-851000.00000003166</v>
      </c>
      <c r="P214" s="123">
        <f t="shared" si="59"/>
        <v>1.1013095238095281</v>
      </c>
      <c r="Q214" s="88">
        <f t="shared" si="60"/>
        <v>-1549447.3600000003</v>
      </c>
      <c r="R214" s="123">
        <f t="shared" si="61"/>
        <v>1.2011863623384909</v>
      </c>
      <c r="S214" s="88">
        <f t="shared" si="64"/>
        <v>-172449.16999999993</v>
      </c>
      <c r="T214" s="124">
        <f t="shared" si="65"/>
        <v>1.0189952309822559</v>
      </c>
      <c r="U214" s="88">
        <f t="shared" si="66"/>
        <v>-1376998.1900000004</v>
      </c>
      <c r="V214" s="124">
        <f t="shared" si="67"/>
        <v>1.1787948812877296</v>
      </c>
      <c r="W214" s="157">
        <f t="shared" si="62"/>
        <v>7</v>
      </c>
    </row>
    <row r="215" spans="1:23" ht="11.25" customHeight="1" x14ac:dyDescent="0.25">
      <c r="A215" s="42" t="s">
        <v>1121</v>
      </c>
      <c r="B215" s="282">
        <f t="shared" si="63"/>
        <v>11</v>
      </c>
      <c r="C215" s="20" t="s">
        <v>922</v>
      </c>
      <c r="D215" s="20" t="s">
        <v>923</v>
      </c>
      <c r="E215" s="20" t="s">
        <v>1114</v>
      </c>
      <c r="F215" s="359" t="s">
        <v>213</v>
      </c>
      <c r="G215" s="360"/>
      <c r="H215" s="11">
        <v>176965.55</v>
      </c>
      <c r="I215" s="11">
        <v>135876.81</v>
      </c>
      <c r="J215" s="336">
        <v>199999.999999997</v>
      </c>
      <c r="K215" s="130">
        <v>131490.74</v>
      </c>
      <c r="L215" s="142">
        <v>151000</v>
      </c>
      <c r="O215" s="88">
        <f t="shared" si="58"/>
        <v>48999.999999997002</v>
      </c>
      <c r="P215" s="123">
        <f t="shared" si="59"/>
        <v>0.75500000000001133</v>
      </c>
      <c r="Q215" s="88">
        <f t="shared" si="60"/>
        <v>-15123.190000000002</v>
      </c>
      <c r="R215" s="123">
        <f t="shared" si="61"/>
        <v>1.1113007436662665</v>
      </c>
      <c r="S215" s="88">
        <f t="shared" si="64"/>
        <v>-19509.260000000009</v>
      </c>
      <c r="T215" s="124">
        <f t="shared" si="65"/>
        <v>1.1483698395795781</v>
      </c>
      <c r="U215" s="88">
        <f t="shared" si="66"/>
        <v>4386.070000000007</v>
      </c>
      <c r="V215" s="124">
        <f t="shared" si="67"/>
        <v>0.96772024600813045</v>
      </c>
      <c r="W215" s="157">
        <f t="shared" si="62"/>
        <v>11</v>
      </c>
    </row>
    <row r="216" spans="1:23" ht="11.25" customHeight="1" x14ac:dyDescent="0.25">
      <c r="A216" s="42" t="s">
        <v>1122</v>
      </c>
      <c r="B216" s="282">
        <f t="shared" si="63"/>
        <v>11</v>
      </c>
      <c r="C216" s="20" t="s">
        <v>922</v>
      </c>
      <c r="D216" s="20" t="s">
        <v>923</v>
      </c>
      <c r="E216" s="20" t="s">
        <v>1114</v>
      </c>
      <c r="F216" s="359" t="s">
        <v>214</v>
      </c>
      <c r="G216" s="360"/>
      <c r="H216" s="11">
        <v>5733879.0999999996</v>
      </c>
      <c r="I216" s="11">
        <v>6800817.8300000001</v>
      </c>
      <c r="J216" s="336">
        <v>7299999.9999999804</v>
      </c>
      <c r="K216" s="130">
        <v>8432538.0899999999</v>
      </c>
      <c r="L216" s="142">
        <v>8500000</v>
      </c>
      <c r="O216" s="88">
        <f t="shared" si="58"/>
        <v>-1200000.0000000196</v>
      </c>
      <c r="P216" s="123">
        <f t="shared" si="59"/>
        <v>1.1643835616438387</v>
      </c>
      <c r="Q216" s="88">
        <f t="shared" si="60"/>
        <v>-1699182.17</v>
      </c>
      <c r="R216" s="123">
        <f t="shared" si="61"/>
        <v>1.2498496816815927</v>
      </c>
      <c r="S216" s="88">
        <f t="shared" si="64"/>
        <v>-67461.910000000149</v>
      </c>
      <c r="T216" s="124">
        <f t="shared" si="65"/>
        <v>1.0080001903673583</v>
      </c>
      <c r="U216" s="88">
        <f t="shared" si="66"/>
        <v>-1631720.2599999998</v>
      </c>
      <c r="V216" s="124">
        <f t="shared" si="67"/>
        <v>1.2399300055946358</v>
      </c>
      <c r="W216" s="157">
        <f t="shared" si="62"/>
        <v>11</v>
      </c>
    </row>
    <row r="217" spans="1:23" ht="11.25" customHeight="1" x14ac:dyDescent="0.25">
      <c r="A217" s="42" t="s">
        <v>1123</v>
      </c>
      <c r="B217" s="282">
        <f t="shared" si="63"/>
        <v>11</v>
      </c>
      <c r="C217" s="20" t="s">
        <v>922</v>
      </c>
      <c r="D217" s="20" t="s">
        <v>923</v>
      </c>
      <c r="E217" s="20" t="s">
        <v>1114</v>
      </c>
      <c r="F217" s="359" t="s">
        <v>215</v>
      </c>
      <c r="G217" s="360"/>
      <c r="H217" s="11">
        <v>537140</v>
      </c>
      <c r="I217" s="11">
        <v>764858</v>
      </c>
      <c r="J217" s="336">
        <v>899999.99999998999</v>
      </c>
      <c r="K217" s="130">
        <v>514522</v>
      </c>
      <c r="L217" s="142">
        <v>600000</v>
      </c>
      <c r="O217" s="88">
        <f t="shared" si="58"/>
        <v>299999.99999998999</v>
      </c>
      <c r="P217" s="123">
        <f t="shared" si="59"/>
        <v>0.66666666666667407</v>
      </c>
      <c r="Q217" s="88">
        <f t="shared" si="60"/>
        <v>164858</v>
      </c>
      <c r="R217" s="123">
        <f t="shared" si="61"/>
        <v>0.78445933755023811</v>
      </c>
      <c r="S217" s="88">
        <f t="shared" si="64"/>
        <v>-85478</v>
      </c>
      <c r="T217" s="124">
        <f t="shared" si="65"/>
        <v>1.1661308943057829</v>
      </c>
      <c r="U217" s="88">
        <f t="shared" si="66"/>
        <v>250336</v>
      </c>
      <c r="V217" s="124">
        <f t="shared" si="67"/>
        <v>0.67270264545837266</v>
      </c>
      <c r="W217" s="157">
        <f t="shared" si="62"/>
        <v>11</v>
      </c>
    </row>
    <row r="218" spans="1:23" ht="11.25" customHeight="1" x14ac:dyDescent="0.25">
      <c r="A218" s="26" t="s">
        <v>1124</v>
      </c>
      <c r="B218" s="282">
        <f t="shared" si="63"/>
        <v>7</v>
      </c>
      <c r="C218" s="26"/>
      <c r="D218" s="23"/>
      <c r="E218" s="23"/>
      <c r="F218" s="361" t="s">
        <v>216</v>
      </c>
      <c r="G218" s="362"/>
      <c r="H218" s="25">
        <f t="shared" ref="H218:L218" si="71">SUM(H219)</f>
        <v>93545.5</v>
      </c>
      <c r="I218" s="25">
        <f t="shared" si="71"/>
        <v>66040.5</v>
      </c>
      <c r="J218" s="129">
        <f t="shared" si="71"/>
        <v>0</v>
      </c>
      <c r="K218" s="129">
        <f t="shared" si="71"/>
        <v>326.91000000000003</v>
      </c>
      <c r="L218" s="140">
        <f t="shared" si="71"/>
        <v>0</v>
      </c>
      <c r="O218" s="88">
        <f t="shared" si="58"/>
        <v>0</v>
      </c>
      <c r="P218" s="123" t="str">
        <f t="shared" si="59"/>
        <v/>
      </c>
      <c r="Q218" s="88">
        <f t="shared" si="60"/>
        <v>66040.5</v>
      </c>
      <c r="R218" s="123">
        <f t="shared" si="61"/>
        <v>0</v>
      </c>
      <c r="S218" s="88">
        <f t="shared" si="64"/>
        <v>326.91000000000003</v>
      </c>
      <c r="T218" s="124">
        <f t="shared" si="65"/>
        <v>0</v>
      </c>
      <c r="U218" s="88">
        <f t="shared" si="66"/>
        <v>65713.59</v>
      </c>
      <c r="V218" s="124">
        <f t="shared" si="67"/>
        <v>4.9501442296772443E-3</v>
      </c>
      <c r="W218" s="157">
        <f t="shared" si="62"/>
        <v>7</v>
      </c>
    </row>
    <row r="219" spans="1:23" ht="11.25" customHeight="1" x14ac:dyDescent="0.25">
      <c r="A219" s="42" t="s">
        <v>1125</v>
      </c>
      <c r="B219" s="282">
        <f t="shared" si="63"/>
        <v>11</v>
      </c>
      <c r="C219" s="14"/>
      <c r="D219" s="13"/>
      <c r="E219" s="13"/>
      <c r="F219" s="359" t="s">
        <v>217</v>
      </c>
      <c r="G219" s="360"/>
      <c r="H219" s="11">
        <v>93545.5</v>
      </c>
      <c r="I219" s="11">
        <v>66040.5</v>
      </c>
      <c r="J219" s="336">
        <v>0</v>
      </c>
      <c r="K219" s="130">
        <v>326.91000000000003</v>
      </c>
      <c r="L219" s="141"/>
      <c r="O219" s="88">
        <f t="shared" si="58"/>
        <v>0</v>
      </c>
      <c r="P219" s="123" t="str">
        <f t="shared" si="59"/>
        <v/>
      </c>
      <c r="Q219" s="88">
        <f t="shared" si="60"/>
        <v>66040.5</v>
      </c>
      <c r="R219" s="123">
        <f t="shared" si="61"/>
        <v>0</v>
      </c>
      <c r="S219" s="88">
        <f t="shared" si="64"/>
        <v>326.91000000000003</v>
      </c>
      <c r="T219" s="124">
        <f t="shared" si="65"/>
        <v>0</v>
      </c>
      <c r="U219" s="88">
        <f t="shared" si="66"/>
        <v>65713.59</v>
      </c>
      <c r="V219" s="124">
        <f t="shared" si="67"/>
        <v>4.9501442296772443E-3</v>
      </c>
      <c r="W219" s="157">
        <f t="shared" si="62"/>
        <v>11</v>
      </c>
    </row>
    <row r="220" spans="1:23" ht="11.25" customHeight="1" x14ac:dyDescent="0.25">
      <c r="A220" s="41" t="s">
        <v>218</v>
      </c>
      <c r="B220" s="282">
        <f t="shared" si="63"/>
        <v>3</v>
      </c>
      <c r="C220" s="41"/>
      <c r="D220" s="40"/>
      <c r="E220" s="40"/>
      <c r="F220" s="363" t="s">
        <v>219</v>
      </c>
      <c r="G220" s="364"/>
      <c r="H220" s="43">
        <f t="shared" ref="H220:L220" si="72">H221+H241+H252+H256</f>
        <v>-244066496.75000012</v>
      </c>
      <c r="I220" s="43">
        <f t="shared" si="72"/>
        <v>-264441054.20000011</v>
      </c>
      <c r="J220" s="127">
        <f t="shared" si="72"/>
        <v>-309736158.94191051</v>
      </c>
      <c r="K220" s="343">
        <f t="shared" ref="K220" si="73">K221+K241+K252+K256</f>
        <v>-335503034.81000006</v>
      </c>
      <c r="L220" s="138">
        <f t="shared" si="72"/>
        <v>-374588680.90999997</v>
      </c>
      <c r="O220" s="88">
        <f t="shared" si="58"/>
        <v>64852521.968089461</v>
      </c>
      <c r="P220" s="123">
        <f t="shared" si="59"/>
        <v>1.2093798870291157</v>
      </c>
      <c r="Q220" s="88">
        <f t="shared" si="60"/>
        <v>110147626.70999986</v>
      </c>
      <c r="R220" s="123">
        <f t="shared" si="61"/>
        <v>1.4165299788386634</v>
      </c>
      <c r="S220" s="88">
        <f t="shared" si="64"/>
        <v>39085646.099999905</v>
      </c>
      <c r="T220" s="124">
        <f t="shared" si="65"/>
        <v>1.1164986365090099</v>
      </c>
      <c r="U220" s="88">
        <f t="shared" si="66"/>
        <v>71061980.609999955</v>
      </c>
      <c r="V220" s="124">
        <f t="shared" si="67"/>
        <v>1.2687252205410393</v>
      </c>
      <c r="W220" s="157">
        <f t="shared" si="62"/>
        <v>3</v>
      </c>
    </row>
    <row r="221" spans="1:23" ht="11.25" customHeight="1" x14ac:dyDescent="0.25">
      <c r="A221" s="38" t="s">
        <v>220</v>
      </c>
      <c r="B221" s="282">
        <f t="shared" si="63"/>
        <v>4</v>
      </c>
      <c r="C221" s="38"/>
      <c r="D221" s="22"/>
      <c r="E221" s="22"/>
      <c r="F221" s="365" t="s">
        <v>221</v>
      </c>
      <c r="G221" s="366"/>
      <c r="H221" s="37">
        <f t="shared" ref="H221:L221" si="74">H222+H224+H238</f>
        <v>-62962947.829999901</v>
      </c>
      <c r="I221" s="37">
        <f t="shared" si="74"/>
        <v>-78213494.379999995</v>
      </c>
      <c r="J221" s="128">
        <f t="shared" si="74"/>
        <v>-90109751.188178301</v>
      </c>
      <c r="K221" s="341">
        <f t="shared" si="74"/>
        <v>-82616561.76000002</v>
      </c>
      <c r="L221" s="139">
        <f t="shared" si="74"/>
        <v>-86605000</v>
      </c>
      <c r="O221" s="175">
        <f t="shared" si="58"/>
        <v>-3504751.1881783009</v>
      </c>
      <c r="P221" s="176">
        <f t="shared" si="59"/>
        <v>0.96110575002189003</v>
      </c>
      <c r="Q221" s="175">
        <f t="shared" si="60"/>
        <v>8391505.6200000048</v>
      </c>
      <c r="R221" s="176">
        <f t="shared" si="61"/>
        <v>1.107289741834445</v>
      </c>
      <c r="S221" s="175">
        <f t="shared" si="64"/>
        <v>3988438.2399999797</v>
      </c>
      <c r="T221" s="177">
        <f t="shared" si="65"/>
        <v>1.0482764975331016</v>
      </c>
      <c r="U221" s="175">
        <f t="shared" si="66"/>
        <v>4403067.380000025</v>
      </c>
      <c r="V221" s="177">
        <f t="shared" si="67"/>
        <v>1.0562954949769632</v>
      </c>
      <c r="W221" s="157">
        <f t="shared" si="62"/>
        <v>4</v>
      </c>
    </row>
    <row r="222" spans="1:23" ht="11.25" customHeight="1" x14ac:dyDescent="0.25">
      <c r="A222" s="26" t="s">
        <v>1126</v>
      </c>
      <c r="B222" s="282">
        <f t="shared" si="63"/>
        <v>7</v>
      </c>
      <c r="C222" s="26"/>
      <c r="D222" s="23"/>
      <c r="E222" s="23"/>
      <c r="F222" s="361" t="s">
        <v>222</v>
      </c>
      <c r="G222" s="362"/>
      <c r="H222" s="25">
        <f t="shared" ref="H222:L222" si="75">SUM(H223)</f>
        <v>112842.45</v>
      </c>
      <c r="I222" s="25">
        <f t="shared" si="75"/>
        <v>172754.55</v>
      </c>
      <c r="J222" s="129">
        <f t="shared" si="75"/>
        <v>0</v>
      </c>
      <c r="K222" s="129">
        <f t="shared" si="75"/>
        <v>98377.96</v>
      </c>
      <c r="L222" s="140">
        <f t="shared" si="75"/>
        <v>0</v>
      </c>
      <c r="O222" s="88">
        <f t="shared" si="58"/>
        <v>0</v>
      </c>
      <c r="P222" s="123" t="str">
        <f t="shared" si="59"/>
        <v/>
      </c>
      <c r="Q222" s="88">
        <f t="shared" si="60"/>
        <v>172754.55</v>
      </c>
      <c r="R222" s="123">
        <f t="shared" si="61"/>
        <v>0</v>
      </c>
      <c r="S222" s="88">
        <f t="shared" si="64"/>
        <v>98377.96</v>
      </c>
      <c r="T222" s="124">
        <f t="shared" si="65"/>
        <v>0</v>
      </c>
      <c r="U222" s="88">
        <f t="shared" si="66"/>
        <v>74376.589999999982</v>
      </c>
      <c r="V222" s="124">
        <f t="shared" si="67"/>
        <v>0.56946667974881138</v>
      </c>
      <c r="W222" s="157">
        <f t="shared" si="62"/>
        <v>7</v>
      </c>
    </row>
    <row r="223" spans="1:23" ht="11.25" customHeight="1" x14ac:dyDescent="0.25">
      <c r="A223" s="42" t="s">
        <v>1127</v>
      </c>
      <c r="B223" s="282">
        <f t="shared" si="63"/>
        <v>11</v>
      </c>
      <c r="C223" s="14"/>
      <c r="D223" s="13"/>
      <c r="E223" s="13"/>
      <c r="F223" s="359" t="s">
        <v>223</v>
      </c>
      <c r="G223" s="360"/>
      <c r="H223" s="11">
        <v>112842.45</v>
      </c>
      <c r="I223" s="11">
        <v>172754.55</v>
      </c>
      <c r="J223" s="336">
        <v>0</v>
      </c>
      <c r="K223" s="130">
        <v>98377.96</v>
      </c>
      <c r="L223" s="141"/>
      <c r="O223" s="88">
        <f t="shared" si="58"/>
        <v>0</v>
      </c>
      <c r="P223" s="123" t="str">
        <f t="shared" si="59"/>
        <v/>
      </c>
      <c r="Q223" s="88">
        <f t="shared" si="60"/>
        <v>172754.55</v>
      </c>
      <c r="R223" s="123">
        <f t="shared" si="61"/>
        <v>0</v>
      </c>
      <c r="S223" s="88">
        <f t="shared" si="64"/>
        <v>98377.96</v>
      </c>
      <c r="T223" s="124">
        <f t="shared" si="65"/>
        <v>0</v>
      </c>
      <c r="U223" s="88">
        <f t="shared" si="66"/>
        <v>74376.589999999982</v>
      </c>
      <c r="V223" s="124">
        <f t="shared" si="67"/>
        <v>0.56946667974881138</v>
      </c>
      <c r="W223" s="157">
        <f t="shared" si="62"/>
        <v>11</v>
      </c>
    </row>
    <row r="224" spans="1:23" ht="11.25" customHeight="1" x14ac:dyDescent="0.25">
      <c r="A224" s="26" t="s">
        <v>1128</v>
      </c>
      <c r="B224" s="282">
        <f t="shared" si="63"/>
        <v>7</v>
      </c>
      <c r="C224" s="26"/>
      <c r="D224" s="23"/>
      <c r="E224" s="23"/>
      <c r="F224" s="361" t="s">
        <v>224</v>
      </c>
      <c r="G224" s="362"/>
      <c r="H224" s="25">
        <f t="shared" ref="H224:L224" si="76">SUM(H225:H237)</f>
        <v>-62962947.829999901</v>
      </c>
      <c r="I224" s="25">
        <f t="shared" si="76"/>
        <v>-78213494.379999995</v>
      </c>
      <c r="J224" s="129">
        <f t="shared" si="76"/>
        <v>-90109751.188178301</v>
      </c>
      <c r="K224" s="342">
        <f t="shared" si="76"/>
        <v>-82616561.76000002</v>
      </c>
      <c r="L224" s="140">
        <f t="shared" si="76"/>
        <v>-86605000</v>
      </c>
      <c r="O224" s="88">
        <f t="shared" si="58"/>
        <v>-3504751.1881783009</v>
      </c>
      <c r="P224" s="123">
        <f t="shared" si="59"/>
        <v>0.96110575002189003</v>
      </c>
      <c r="Q224" s="88">
        <f t="shared" si="60"/>
        <v>8391505.6200000048</v>
      </c>
      <c r="R224" s="123">
        <f t="shared" si="61"/>
        <v>1.107289741834445</v>
      </c>
      <c r="S224" s="88">
        <f t="shared" si="64"/>
        <v>3988438.2399999797</v>
      </c>
      <c r="T224" s="124">
        <f t="shared" si="65"/>
        <v>1.0482764975331016</v>
      </c>
      <c r="U224" s="88">
        <f t="shared" si="66"/>
        <v>4403067.380000025</v>
      </c>
      <c r="V224" s="124">
        <f t="shared" si="67"/>
        <v>1.0562954949769632</v>
      </c>
      <c r="W224" s="157">
        <f t="shared" si="62"/>
        <v>7</v>
      </c>
    </row>
    <row r="225" spans="1:23" ht="11.25" customHeight="1" x14ac:dyDescent="0.25">
      <c r="A225" s="55" t="s">
        <v>1129</v>
      </c>
      <c r="B225" s="282">
        <f t="shared" si="63"/>
        <v>11</v>
      </c>
      <c r="C225" s="160" t="s">
        <v>916</v>
      </c>
      <c r="D225" s="160" t="s">
        <v>920</v>
      </c>
      <c r="E225" s="160" t="s">
        <v>1053</v>
      </c>
      <c r="F225" s="375" t="s">
        <v>225</v>
      </c>
      <c r="G225" s="376"/>
      <c r="H225" s="54">
        <v>-29564770.009999901</v>
      </c>
      <c r="I225" s="54">
        <v>-37610420.93</v>
      </c>
      <c r="J225" s="136">
        <v>-28699999.999999601</v>
      </c>
      <c r="K225" s="161">
        <v>-28033621.359999999</v>
      </c>
      <c r="L225" s="153">
        <v>-28700000</v>
      </c>
      <c r="M225" s="168" t="s">
        <v>1726</v>
      </c>
      <c r="N225" s="168"/>
      <c r="O225" s="99">
        <f t="shared" si="58"/>
        <v>3.986060619354248E-7</v>
      </c>
      <c r="P225" s="162">
        <f t="shared" si="59"/>
        <v>1.000000000000014</v>
      </c>
      <c r="Q225" s="99">
        <f t="shared" si="60"/>
        <v>-8910420.9299999997</v>
      </c>
      <c r="R225" s="162">
        <f t="shared" si="61"/>
        <v>0.76308638112336069</v>
      </c>
      <c r="S225" s="99">
        <f t="shared" si="64"/>
        <v>666378.6400000006</v>
      </c>
      <c r="T225" s="124">
        <f t="shared" si="65"/>
        <v>1.0237706941762019</v>
      </c>
      <c r="U225" s="99">
        <f t="shared" si="66"/>
        <v>-9576799.5700000003</v>
      </c>
      <c r="V225" s="124">
        <f t="shared" si="67"/>
        <v>0.74536845551863917</v>
      </c>
      <c r="W225" s="157">
        <f t="shared" si="62"/>
        <v>11</v>
      </c>
    </row>
    <row r="226" spans="1:23" ht="11.25" customHeight="1" x14ac:dyDescent="0.25">
      <c r="A226" s="42" t="s">
        <v>1130</v>
      </c>
      <c r="B226" s="282">
        <f t="shared" si="63"/>
        <v>11</v>
      </c>
      <c r="C226" s="20" t="s">
        <v>1654</v>
      </c>
      <c r="D226" s="20" t="s">
        <v>919</v>
      </c>
      <c r="E226" s="20" t="s">
        <v>1655</v>
      </c>
      <c r="F226" s="359" t="s">
        <v>226</v>
      </c>
      <c r="G226" s="360"/>
      <c r="H226" s="11">
        <v>-226902.8</v>
      </c>
      <c r="I226" s="11">
        <v>-244271.09</v>
      </c>
      <c r="J226" s="336">
        <v>-400210.84328072501</v>
      </c>
      <c r="K226" s="130">
        <v>-516831.25</v>
      </c>
      <c r="L226" s="142">
        <v>-500000</v>
      </c>
      <c r="O226" s="88">
        <f t="shared" si="58"/>
        <v>99789.156719274994</v>
      </c>
      <c r="P226" s="123">
        <f t="shared" si="59"/>
        <v>1.2493414618685845</v>
      </c>
      <c r="Q226" s="88">
        <f t="shared" si="60"/>
        <v>255728.91</v>
      </c>
      <c r="R226" s="123">
        <f t="shared" si="61"/>
        <v>2.0469061647860172</v>
      </c>
      <c r="S226" s="88">
        <f t="shared" si="64"/>
        <v>-16831.25</v>
      </c>
      <c r="T226" s="124">
        <f t="shared" si="65"/>
        <v>0.96743376101967515</v>
      </c>
      <c r="U226" s="88">
        <f t="shared" si="66"/>
        <v>272560.16000000003</v>
      </c>
      <c r="V226" s="124">
        <f t="shared" si="67"/>
        <v>2.1158101435581265</v>
      </c>
      <c r="W226" s="157">
        <f t="shared" si="62"/>
        <v>11</v>
      </c>
    </row>
    <row r="227" spans="1:23" ht="11.25" customHeight="1" x14ac:dyDescent="0.25">
      <c r="A227" s="55" t="s">
        <v>1131</v>
      </c>
      <c r="B227" s="282">
        <f t="shared" si="63"/>
        <v>11</v>
      </c>
      <c r="C227" s="160" t="s">
        <v>916</v>
      </c>
      <c r="D227" s="160" t="s">
        <v>920</v>
      </c>
      <c r="E227" s="160" t="s">
        <v>1053</v>
      </c>
      <c r="F227" s="375" t="s">
        <v>227</v>
      </c>
      <c r="G227" s="376"/>
      <c r="H227" s="54">
        <v>-7028569.2800000003</v>
      </c>
      <c r="I227" s="54">
        <v>-9425105.4800000004</v>
      </c>
      <c r="J227" s="136">
        <v>-499575.24436860101</v>
      </c>
      <c r="K227" s="161">
        <v>-11862684.43</v>
      </c>
      <c r="L227" s="153">
        <v>-500000</v>
      </c>
      <c r="M227" s="168" t="s">
        <v>1727</v>
      </c>
      <c r="N227" s="168"/>
      <c r="O227" s="99">
        <f t="shared" si="58"/>
        <v>424.75563139899168</v>
      </c>
      <c r="P227" s="162">
        <f t="shared" si="59"/>
        <v>1.0008502335457712</v>
      </c>
      <c r="Q227" s="99">
        <f t="shared" si="60"/>
        <v>-8925105.4800000004</v>
      </c>
      <c r="R227" s="162">
        <f t="shared" si="61"/>
        <v>5.3049804170467486E-2</v>
      </c>
      <c r="S227" s="99">
        <f t="shared" si="64"/>
        <v>-11362684.43</v>
      </c>
      <c r="T227" s="124">
        <f t="shared" si="65"/>
        <v>4.2148975887407972E-2</v>
      </c>
      <c r="U227" s="99">
        <f t="shared" si="66"/>
        <v>2437578.9499999993</v>
      </c>
      <c r="V227" s="124">
        <f t="shared" si="67"/>
        <v>1.2586261718951075</v>
      </c>
      <c r="W227" s="157">
        <f t="shared" si="62"/>
        <v>11</v>
      </c>
    </row>
    <row r="228" spans="1:23" ht="11.25" customHeight="1" x14ac:dyDescent="0.25">
      <c r="A228" s="42" t="s">
        <v>1132</v>
      </c>
      <c r="B228" s="282">
        <f t="shared" si="63"/>
        <v>11</v>
      </c>
      <c r="C228" s="20" t="s">
        <v>916</v>
      </c>
      <c r="D228" s="20" t="s">
        <v>923</v>
      </c>
      <c r="E228" s="20" t="s">
        <v>1648</v>
      </c>
      <c r="F228" s="359" t="s">
        <v>228</v>
      </c>
      <c r="G228" s="360"/>
      <c r="H228" s="11">
        <v>-13436472.689999999</v>
      </c>
      <c r="I228" s="11">
        <v>-13023648.689999999</v>
      </c>
      <c r="J228" s="336">
        <v>-36555337.381816</v>
      </c>
      <c r="K228" s="130">
        <v>-24231406.550000001</v>
      </c>
      <c r="L228" s="145">
        <f>-10570000-10000000+6000000-1900000-2160000</f>
        <v>-18630000</v>
      </c>
      <c r="O228" s="88">
        <f t="shared" si="58"/>
        <v>-17925337.381816</v>
      </c>
      <c r="P228" s="123">
        <f t="shared" si="59"/>
        <v>0.50963830002201715</v>
      </c>
      <c r="Q228" s="88">
        <f t="shared" si="60"/>
        <v>5606351.3100000005</v>
      </c>
      <c r="R228" s="123">
        <f t="shared" si="61"/>
        <v>1.43047470362931</v>
      </c>
      <c r="S228" s="88">
        <f t="shared" si="64"/>
        <v>-5601406.5500000007</v>
      </c>
      <c r="T228" s="124">
        <f t="shared" si="65"/>
        <v>0.76883692085963529</v>
      </c>
      <c r="U228" s="88">
        <f t="shared" si="66"/>
        <v>11207757.860000001</v>
      </c>
      <c r="V228" s="124">
        <f t="shared" si="67"/>
        <v>1.8605697317838201</v>
      </c>
      <c r="W228" s="157">
        <f t="shared" si="62"/>
        <v>11</v>
      </c>
    </row>
    <row r="229" spans="1:23" ht="11.25" customHeight="1" x14ac:dyDescent="0.25">
      <c r="A229" s="42" t="s">
        <v>1133</v>
      </c>
      <c r="B229" s="282">
        <f t="shared" si="63"/>
        <v>11</v>
      </c>
      <c r="C229" s="163" t="s">
        <v>916</v>
      </c>
      <c r="D229" s="163" t="s">
        <v>919</v>
      </c>
      <c r="E229" s="163" t="s">
        <v>1089</v>
      </c>
      <c r="F229" s="377" t="s">
        <v>229</v>
      </c>
      <c r="G229" s="378"/>
      <c r="H229" s="57">
        <v>-9711805.3400000092</v>
      </c>
      <c r="I229" s="57">
        <v>-14402956</v>
      </c>
      <c r="J229" s="340">
        <v>-9700115.1786342803</v>
      </c>
      <c r="K229" s="164">
        <v>-12344724.18</v>
      </c>
      <c r="L229" s="143">
        <f>-12000000+1000000</f>
        <v>-11000000</v>
      </c>
      <c r="M229" s="105" t="s">
        <v>1745</v>
      </c>
      <c r="N229" s="105"/>
      <c r="O229" s="165">
        <f t="shared" si="58"/>
        <v>1299884.8213657197</v>
      </c>
      <c r="P229" s="166">
        <f t="shared" si="59"/>
        <v>1.1340071532582292</v>
      </c>
      <c r="Q229" s="165">
        <f t="shared" si="60"/>
        <v>-3402956</v>
      </c>
      <c r="R229" s="166">
        <f t="shared" si="61"/>
        <v>0.76373211165819022</v>
      </c>
      <c r="S229" s="165">
        <f t="shared" si="64"/>
        <v>-1344724.1799999997</v>
      </c>
      <c r="T229" s="124">
        <f t="shared" si="65"/>
        <v>0.89106891653532272</v>
      </c>
      <c r="U229" s="165">
        <f t="shared" si="66"/>
        <v>-2058231.8200000003</v>
      </c>
      <c r="V229" s="124">
        <f t="shared" si="67"/>
        <v>0.85709656962084724</v>
      </c>
      <c r="W229" s="157">
        <f t="shared" si="62"/>
        <v>11</v>
      </c>
    </row>
    <row r="230" spans="1:23" ht="11.25" customHeight="1" x14ac:dyDescent="0.25">
      <c r="A230" s="42" t="s">
        <v>1134</v>
      </c>
      <c r="B230" s="282">
        <f t="shared" si="63"/>
        <v>11</v>
      </c>
      <c r="C230" s="20" t="s">
        <v>916</v>
      </c>
      <c r="D230" s="20" t="s">
        <v>920</v>
      </c>
      <c r="E230" s="20" t="s">
        <v>1053</v>
      </c>
      <c r="F230" s="359" t="s">
        <v>230</v>
      </c>
      <c r="G230" s="360"/>
      <c r="H230" s="11">
        <v>-106009.19</v>
      </c>
      <c r="I230" s="11">
        <v>-107921.86</v>
      </c>
      <c r="J230" s="336">
        <v>-79999.999999987995</v>
      </c>
      <c r="K230" s="130">
        <v>-118215.7</v>
      </c>
      <c r="L230" s="142">
        <v>-700000</v>
      </c>
      <c r="M230" s="104" t="s">
        <v>1700</v>
      </c>
      <c r="O230" s="88">
        <f t="shared" si="58"/>
        <v>620000.00000001199</v>
      </c>
      <c r="P230" s="123">
        <f t="shared" si="59"/>
        <v>8.7500000000013127</v>
      </c>
      <c r="Q230" s="88">
        <f t="shared" si="60"/>
        <v>592078.14</v>
      </c>
      <c r="R230" s="123">
        <f t="shared" si="61"/>
        <v>6.4861743487371326</v>
      </c>
      <c r="S230" s="88">
        <f t="shared" si="64"/>
        <v>581784.30000000005</v>
      </c>
      <c r="T230" s="124">
        <f t="shared" si="65"/>
        <v>5.9213793091780538</v>
      </c>
      <c r="U230" s="88">
        <f t="shared" si="66"/>
        <v>10293.839999999997</v>
      </c>
      <c r="V230" s="124">
        <f t="shared" si="67"/>
        <v>1.0953823442257202</v>
      </c>
      <c r="W230" s="157">
        <f t="shared" si="62"/>
        <v>11</v>
      </c>
    </row>
    <row r="231" spans="1:23" ht="11.25" customHeight="1" x14ac:dyDescent="0.25">
      <c r="A231" s="42" t="s">
        <v>1135</v>
      </c>
      <c r="B231" s="282">
        <f t="shared" si="63"/>
        <v>11</v>
      </c>
      <c r="C231" s="20" t="s">
        <v>916</v>
      </c>
      <c r="D231" s="20" t="s">
        <v>919</v>
      </c>
      <c r="E231" s="20" t="s">
        <v>918</v>
      </c>
      <c r="F231" s="359" t="s">
        <v>231</v>
      </c>
      <c r="G231" s="360"/>
      <c r="H231" s="11">
        <v>-2636079.87</v>
      </c>
      <c r="I231" s="11">
        <v>-2840011.66</v>
      </c>
      <c r="J231" s="336">
        <v>-2599999.99999998</v>
      </c>
      <c r="K231" s="130">
        <v>-2929434.14</v>
      </c>
      <c r="L231" s="142">
        <f>-3300000+400000</f>
        <v>-2900000</v>
      </c>
      <c r="M231" s="105" t="s">
        <v>1694</v>
      </c>
      <c r="N231" s="105"/>
      <c r="O231" s="88">
        <f t="shared" si="58"/>
        <v>300000.00000002002</v>
      </c>
      <c r="P231" s="123">
        <f t="shared" si="59"/>
        <v>1.1153846153846241</v>
      </c>
      <c r="Q231" s="88">
        <f t="shared" si="60"/>
        <v>59988.339999999851</v>
      </c>
      <c r="R231" s="123">
        <f t="shared" si="61"/>
        <v>1.0211225682080474</v>
      </c>
      <c r="S231" s="88">
        <f t="shared" si="64"/>
        <v>-29434.14000000013</v>
      </c>
      <c r="T231" s="124">
        <f t="shared" si="65"/>
        <v>0.98995227795085361</v>
      </c>
      <c r="U231" s="88">
        <f t="shared" si="66"/>
        <v>89422.479999999981</v>
      </c>
      <c r="V231" s="124">
        <f t="shared" si="67"/>
        <v>1.031486659459701</v>
      </c>
      <c r="W231" s="157">
        <f t="shared" si="62"/>
        <v>11</v>
      </c>
    </row>
    <row r="232" spans="1:23" ht="11.25" customHeight="1" x14ac:dyDescent="0.25">
      <c r="A232" s="42" t="s">
        <v>1136</v>
      </c>
      <c r="B232" s="282">
        <f t="shared" si="63"/>
        <v>11</v>
      </c>
      <c r="C232" s="20" t="s">
        <v>916</v>
      </c>
      <c r="D232" s="20" t="s">
        <v>919</v>
      </c>
      <c r="E232" s="20" t="s">
        <v>1649</v>
      </c>
      <c r="F232" s="359" t="s">
        <v>232</v>
      </c>
      <c r="G232" s="360"/>
      <c r="H232" s="11">
        <v>-207846.65</v>
      </c>
      <c r="I232" s="11">
        <v>-499596.47</v>
      </c>
      <c r="J232" s="336">
        <v>-349999.99999999499</v>
      </c>
      <c r="K232" s="130">
        <v>-666719.42000000004</v>
      </c>
      <c r="L232" s="142">
        <v>-1500000</v>
      </c>
      <c r="M232" s="104" t="s">
        <v>1702</v>
      </c>
      <c r="O232" s="88">
        <f t="shared" si="58"/>
        <v>1150000.0000000051</v>
      </c>
      <c r="P232" s="123">
        <f t="shared" si="59"/>
        <v>4.2857142857143469</v>
      </c>
      <c r="Q232" s="88">
        <f t="shared" si="60"/>
        <v>1000403.53</v>
      </c>
      <c r="R232" s="123">
        <f t="shared" si="61"/>
        <v>3.0024231356158304</v>
      </c>
      <c r="S232" s="88">
        <f t="shared" si="64"/>
        <v>833280.58</v>
      </c>
      <c r="T232" s="124">
        <f t="shared" si="65"/>
        <v>2.2498219715873882</v>
      </c>
      <c r="U232" s="88">
        <f t="shared" si="66"/>
        <v>167122.95000000007</v>
      </c>
      <c r="V232" s="124">
        <f t="shared" si="67"/>
        <v>1.3345158743815786</v>
      </c>
      <c r="W232" s="157">
        <f t="shared" si="62"/>
        <v>11</v>
      </c>
    </row>
    <row r="233" spans="1:23" ht="11.25" customHeight="1" x14ac:dyDescent="0.25">
      <c r="A233" s="42" t="s">
        <v>1137</v>
      </c>
      <c r="B233" s="282">
        <f t="shared" si="63"/>
        <v>11</v>
      </c>
      <c r="C233" s="20" t="s">
        <v>1241</v>
      </c>
      <c r="D233" s="20" t="s">
        <v>920</v>
      </c>
      <c r="E233" s="20" t="s">
        <v>1242</v>
      </c>
      <c r="F233" s="359" t="s">
        <v>233</v>
      </c>
      <c r="G233" s="360"/>
      <c r="H233" s="11">
        <v>-44492</v>
      </c>
      <c r="I233" s="11">
        <v>-59562.2</v>
      </c>
      <c r="J233" s="336">
        <v>-1075000</v>
      </c>
      <c r="K233" s="130">
        <v>-73300.78</v>
      </c>
      <c r="L233" s="142">
        <v>-1275000</v>
      </c>
      <c r="O233" s="88">
        <f t="shared" si="58"/>
        <v>200000</v>
      </c>
      <c r="P233" s="123">
        <f t="shared" si="59"/>
        <v>1.1860465116279071</v>
      </c>
      <c r="Q233" s="88">
        <f t="shared" si="60"/>
        <v>1215437.8</v>
      </c>
      <c r="R233" s="123">
        <f t="shared" si="61"/>
        <v>21.406193861207278</v>
      </c>
      <c r="S233" s="88">
        <f t="shared" si="64"/>
        <v>1201699.22</v>
      </c>
      <c r="T233" s="124">
        <f t="shared" si="65"/>
        <v>17.394085028835981</v>
      </c>
      <c r="U233" s="88">
        <f t="shared" si="66"/>
        <v>13738.580000000002</v>
      </c>
      <c r="V233" s="124">
        <f t="shared" si="67"/>
        <v>1.2306593779276118</v>
      </c>
      <c r="W233" s="157">
        <f t="shared" si="62"/>
        <v>11</v>
      </c>
    </row>
    <row r="234" spans="1:23" ht="11.25" customHeight="1" x14ac:dyDescent="0.25">
      <c r="A234" s="42" t="s">
        <v>1138</v>
      </c>
      <c r="B234" s="282">
        <f t="shared" si="63"/>
        <v>11</v>
      </c>
      <c r="C234" s="20"/>
      <c r="D234" s="20"/>
      <c r="E234" s="20"/>
      <c r="F234" s="359"/>
      <c r="G234" s="360"/>
      <c r="H234" s="11">
        <v>0</v>
      </c>
      <c r="I234" s="11">
        <v>0</v>
      </c>
      <c r="J234" s="336">
        <v>-50000</v>
      </c>
      <c r="K234" s="130">
        <v>-3386</v>
      </c>
      <c r="L234" s="141"/>
      <c r="O234" s="88">
        <f t="shared" si="58"/>
        <v>-50000</v>
      </c>
      <c r="P234" s="123">
        <f t="shared" si="59"/>
        <v>0</v>
      </c>
      <c r="Q234" s="88">
        <f t="shared" si="60"/>
        <v>0</v>
      </c>
      <c r="R234" s="123" t="str">
        <f t="shared" si="61"/>
        <v/>
      </c>
      <c r="S234" s="88">
        <f t="shared" si="64"/>
        <v>-3386</v>
      </c>
      <c r="T234" s="124">
        <f t="shared" si="65"/>
        <v>0</v>
      </c>
      <c r="U234" s="88">
        <f t="shared" si="66"/>
        <v>3386</v>
      </c>
      <c r="V234" s="124" t="str">
        <f t="shared" si="67"/>
        <v/>
      </c>
      <c r="W234" s="157">
        <f t="shared" si="62"/>
        <v>11</v>
      </c>
    </row>
    <row r="235" spans="1:23" ht="11.25" customHeight="1" x14ac:dyDescent="0.25">
      <c r="A235" s="55" t="s">
        <v>1139</v>
      </c>
      <c r="B235" s="282">
        <f t="shared" si="63"/>
        <v>11</v>
      </c>
      <c r="C235" s="160" t="s">
        <v>916</v>
      </c>
      <c r="D235" s="160" t="s">
        <v>919</v>
      </c>
      <c r="E235" s="160" t="s">
        <v>1649</v>
      </c>
      <c r="F235" s="375" t="s">
        <v>1679</v>
      </c>
      <c r="G235" s="376"/>
      <c r="H235" s="54">
        <v>0</v>
      </c>
      <c r="I235" s="54">
        <v>0</v>
      </c>
      <c r="J235" s="136">
        <v>-299999.99999957101</v>
      </c>
      <c r="K235" s="161">
        <v>-6970.81</v>
      </c>
      <c r="L235" s="153">
        <v>-300000</v>
      </c>
      <c r="M235" s="168" t="s">
        <v>1725</v>
      </c>
      <c r="N235" s="168"/>
      <c r="O235" s="99">
        <f t="shared" si="58"/>
        <v>4.2899046093225479E-7</v>
      </c>
      <c r="P235" s="162">
        <f t="shared" si="59"/>
        <v>1.00000000000143</v>
      </c>
      <c r="Q235" s="99">
        <f t="shared" si="60"/>
        <v>300000</v>
      </c>
      <c r="R235" s="162" t="str">
        <f t="shared" si="61"/>
        <v/>
      </c>
      <c r="S235" s="99">
        <f t="shared" si="64"/>
        <v>293029.19</v>
      </c>
      <c r="T235" s="124">
        <f t="shared" si="65"/>
        <v>43.036605502086559</v>
      </c>
      <c r="U235" s="99">
        <f t="shared" si="66"/>
        <v>6970.81</v>
      </c>
      <c r="V235" s="124" t="str">
        <f t="shared" si="67"/>
        <v/>
      </c>
      <c r="W235" s="157">
        <f t="shared" si="62"/>
        <v>11</v>
      </c>
    </row>
    <row r="236" spans="1:23" ht="11.25" customHeight="1" x14ac:dyDescent="0.25">
      <c r="A236" s="55" t="s">
        <v>1140</v>
      </c>
      <c r="B236" s="282">
        <f t="shared" si="63"/>
        <v>11</v>
      </c>
      <c r="C236" s="160" t="s">
        <v>916</v>
      </c>
      <c r="D236" s="160" t="s">
        <v>919</v>
      </c>
      <c r="E236" s="160" t="s">
        <v>1649</v>
      </c>
      <c r="F236" s="375" t="s">
        <v>1680</v>
      </c>
      <c r="G236" s="376"/>
      <c r="H236" s="54">
        <v>0</v>
      </c>
      <c r="I236" s="54">
        <v>0</v>
      </c>
      <c r="J236" s="136">
        <v>-7399631.9180194195</v>
      </c>
      <c r="K236" s="161">
        <v>-1008130.72</v>
      </c>
      <c r="L236" s="153">
        <v>-18100000</v>
      </c>
      <c r="M236" s="169"/>
      <c r="N236" s="169"/>
      <c r="O236" s="99">
        <f t="shared" si="58"/>
        <v>10700368.08198058</v>
      </c>
      <c r="P236" s="162">
        <f t="shared" si="59"/>
        <v>2.4460676153260112</v>
      </c>
      <c r="Q236" s="99">
        <f t="shared" si="60"/>
        <v>18100000</v>
      </c>
      <c r="R236" s="162" t="str">
        <f t="shared" si="61"/>
        <v/>
      </c>
      <c r="S236" s="99">
        <f t="shared" si="64"/>
        <v>17091869.280000001</v>
      </c>
      <c r="T236" s="124">
        <f t="shared" si="65"/>
        <v>17.954020883323544</v>
      </c>
      <c r="U236" s="99">
        <f t="shared" si="66"/>
        <v>1008130.72</v>
      </c>
      <c r="V236" s="124" t="str">
        <f t="shared" si="67"/>
        <v/>
      </c>
      <c r="W236" s="157">
        <f t="shared" si="62"/>
        <v>11</v>
      </c>
    </row>
    <row r="237" spans="1:23" ht="11.25" customHeight="1" x14ac:dyDescent="0.25">
      <c r="A237" s="55" t="s">
        <v>1141</v>
      </c>
      <c r="B237" s="282">
        <f t="shared" si="63"/>
        <v>11</v>
      </c>
      <c r="C237" s="160" t="s">
        <v>916</v>
      </c>
      <c r="D237" s="160" t="s">
        <v>919</v>
      </c>
      <c r="E237" s="160" t="s">
        <v>1649</v>
      </c>
      <c r="F237" s="375" t="s">
        <v>1681</v>
      </c>
      <c r="G237" s="376"/>
      <c r="H237" s="54">
        <v>0</v>
      </c>
      <c r="I237" s="54">
        <v>0</v>
      </c>
      <c r="J237" s="136">
        <v>-2399880.6220601299</v>
      </c>
      <c r="K237" s="161">
        <v>-821136.42</v>
      </c>
      <c r="L237" s="153">
        <f>-3500000+1000000</f>
        <v>-2500000</v>
      </c>
      <c r="M237" s="169"/>
      <c r="N237" s="169"/>
      <c r="O237" s="99">
        <f t="shared" si="58"/>
        <v>100119.37793987012</v>
      </c>
      <c r="P237" s="162">
        <f t="shared" si="59"/>
        <v>1.04171848258599</v>
      </c>
      <c r="Q237" s="99">
        <f t="shared" si="60"/>
        <v>2500000</v>
      </c>
      <c r="R237" s="162" t="str">
        <f t="shared" si="61"/>
        <v/>
      </c>
      <c r="S237" s="99">
        <f t="shared" si="64"/>
        <v>1678863.58</v>
      </c>
      <c r="T237" s="124">
        <f t="shared" si="65"/>
        <v>3.0445610974118038</v>
      </c>
      <c r="U237" s="99">
        <f t="shared" si="66"/>
        <v>821136.42</v>
      </c>
      <c r="V237" s="124" t="str">
        <f t="shared" si="67"/>
        <v/>
      </c>
      <c r="W237" s="157">
        <f t="shared" si="62"/>
        <v>11</v>
      </c>
    </row>
    <row r="238" spans="1:23" ht="11.25" customHeight="1" x14ac:dyDescent="0.25">
      <c r="A238" s="26" t="s">
        <v>1142</v>
      </c>
      <c r="B238" s="282">
        <f t="shared" si="63"/>
        <v>7</v>
      </c>
      <c r="C238" s="26"/>
      <c r="D238" s="23"/>
      <c r="E238" s="23"/>
      <c r="F238" s="361" t="s">
        <v>234</v>
      </c>
      <c r="G238" s="362"/>
      <c r="H238" s="25">
        <f t="shared" ref="H238:L238" si="77">SUM(H239:H240)</f>
        <v>-112842.45</v>
      </c>
      <c r="I238" s="25">
        <f t="shared" si="77"/>
        <v>-172754.55</v>
      </c>
      <c r="J238" s="129">
        <f t="shared" si="77"/>
        <v>0</v>
      </c>
      <c r="K238" s="129">
        <f t="shared" si="77"/>
        <v>-98377.96</v>
      </c>
      <c r="L238" s="140">
        <f t="shared" si="77"/>
        <v>0</v>
      </c>
      <c r="O238" s="88">
        <f t="shared" si="58"/>
        <v>0</v>
      </c>
      <c r="P238" s="123" t="str">
        <f t="shared" si="59"/>
        <v/>
      </c>
      <c r="Q238" s="88">
        <f t="shared" si="60"/>
        <v>-172754.55</v>
      </c>
      <c r="R238" s="123">
        <f t="shared" si="61"/>
        <v>0</v>
      </c>
      <c r="S238" s="88">
        <f t="shared" si="64"/>
        <v>-98377.96</v>
      </c>
      <c r="T238" s="124">
        <f t="shared" si="65"/>
        <v>0</v>
      </c>
      <c r="U238" s="88">
        <f t="shared" si="66"/>
        <v>-74376.589999999982</v>
      </c>
      <c r="V238" s="124">
        <f t="shared" si="67"/>
        <v>0.56946667974881138</v>
      </c>
      <c r="W238" s="157">
        <f t="shared" si="62"/>
        <v>7</v>
      </c>
    </row>
    <row r="239" spans="1:23" ht="11.25" customHeight="1" x14ac:dyDescent="0.25">
      <c r="A239" s="42" t="s">
        <v>1143</v>
      </c>
      <c r="B239" s="282">
        <f t="shared" si="63"/>
        <v>11</v>
      </c>
      <c r="C239" s="14"/>
      <c r="D239" s="13"/>
      <c r="E239" s="13"/>
      <c r="F239" s="359" t="s">
        <v>235</v>
      </c>
      <c r="G239" s="360"/>
      <c r="H239" s="11">
        <v>-112842.45</v>
      </c>
      <c r="I239" s="11">
        <v>-172754.55</v>
      </c>
      <c r="J239" s="336">
        <v>0</v>
      </c>
      <c r="K239" s="130">
        <v>-98377.96</v>
      </c>
      <c r="L239" s="141"/>
      <c r="O239" s="88">
        <f t="shared" si="58"/>
        <v>0</v>
      </c>
      <c r="P239" s="123" t="str">
        <f t="shared" si="59"/>
        <v/>
      </c>
      <c r="Q239" s="88">
        <f t="shared" si="60"/>
        <v>-172754.55</v>
      </c>
      <c r="R239" s="123">
        <f t="shared" si="61"/>
        <v>0</v>
      </c>
      <c r="S239" s="88">
        <f t="shared" si="64"/>
        <v>-98377.96</v>
      </c>
      <c r="T239" s="124">
        <f t="shared" si="65"/>
        <v>0</v>
      </c>
      <c r="U239" s="88">
        <f t="shared" si="66"/>
        <v>-74376.589999999982</v>
      </c>
      <c r="V239" s="124">
        <f t="shared" si="67"/>
        <v>0.56946667974881138</v>
      </c>
      <c r="W239" s="157">
        <f t="shared" si="62"/>
        <v>11</v>
      </c>
    </row>
    <row r="240" spans="1:23" ht="11.25" customHeight="1" x14ac:dyDescent="0.25">
      <c r="A240" s="42" t="s">
        <v>1144</v>
      </c>
      <c r="B240" s="282">
        <f t="shared" si="63"/>
        <v>11</v>
      </c>
      <c r="C240" s="14"/>
      <c r="D240" s="13"/>
      <c r="E240" s="13"/>
      <c r="F240" s="359" t="s">
        <v>236</v>
      </c>
      <c r="G240" s="360"/>
      <c r="H240" s="11">
        <v>0</v>
      </c>
      <c r="I240" s="11">
        <v>0</v>
      </c>
      <c r="J240" s="336">
        <v>0</v>
      </c>
      <c r="K240" s="130">
        <v>0</v>
      </c>
      <c r="L240" s="141"/>
      <c r="O240" s="88">
        <f t="shared" si="58"/>
        <v>0</v>
      </c>
      <c r="P240" s="123" t="str">
        <f t="shared" si="59"/>
        <v/>
      </c>
      <c r="Q240" s="88">
        <f t="shared" si="60"/>
        <v>0</v>
      </c>
      <c r="R240" s="123" t="str">
        <f t="shared" si="61"/>
        <v/>
      </c>
      <c r="S240" s="88">
        <f t="shared" si="64"/>
        <v>0</v>
      </c>
      <c r="T240" s="124" t="str">
        <f t="shared" si="65"/>
        <v/>
      </c>
      <c r="U240" s="88">
        <f t="shared" si="66"/>
        <v>0</v>
      </c>
      <c r="V240" s="124" t="str">
        <f t="shared" si="67"/>
        <v/>
      </c>
      <c r="W240" s="157">
        <f t="shared" si="62"/>
        <v>11</v>
      </c>
    </row>
    <row r="241" spans="1:23" ht="11.25" customHeight="1" x14ac:dyDescent="0.25">
      <c r="A241" s="38" t="s">
        <v>237</v>
      </c>
      <c r="B241" s="282">
        <f t="shared" si="63"/>
        <v>4</v>
      </c>
      <c r="C241" s="38"/>
      <c r="D241" s="22"/>
      <c r="E241" s="22"/>
      <c r="F241" s="365" t="s">
        <v>238</v>
      </c>
      <c r="G241" s="366"/>
      <c r="H241" s="37">
        <f t="shared" ref="H241:L241" si="78">H242+H245+H247+H250</f>
        <v>-8016651.9100000001</v>
      </c>
      <c r="I241" s="37">
        <f t="shared" si="78"/>
        <v>-8743402.8499999996</v>
      </c>
      <c r="J241" s="128">
        <f t="shared" si="78"/>
        <v>-7769999.9999999888</v>
      </c>
      <c r="K241" s="341">
        <f t="shared" si="78"/>
        <v>-10373829.930000002</v>
      </c>
      <c r="L241" s="139">
        <f t="shared" si="78"/>
        <v>-9544503</v>
      </c>
      <c r="O241" s="175">
        <f t="shared" si="58"/>
        <v>1774503.0000000112</v>
      </c>
      <c r="P241" s="176">
        <f t="shared" si="59"/>
        <v>1.2283787644787663</v>
      </c>
      <c r="Q241" s="175">
        <f t="shared" si="60"/>
        <v>801100.15000000037</v>
      </c>
      <c r="R241" s="176">
        <f t="shared" si="61"/>
        <v>1.0916233832231579</v>
      </c>
      <c r="S241" s="175">
        <f t="shared" si="64"/>
        <v>-829326.93000000156</v>
      </c>
      <c r="T241" s="177">
        <f t="shared" si="65"/>
        <v>0.92005585828993808</v>
      </c>
      <c r="U241" s="175">
        <f t="shared" si="66"/>
        <v>1630427.0800000019</v>
      </c>
      <c r="V241" s="177">
        <f t="shared" si="67"/>
        <v>1.1864751182086963</v>
      </c>
      <c r="W241" s="157">
        <f t="shared" si="62"/>
        <v>4</v>
      </c>
    </row>
    <row r="242" spans="1:23" ht="11.25" customHeight="1" x14ac:dyDescent="0.25">
      <c r="A242" s="26" t="s">
        <v>1145</v>
      </c>
      <c r="B242" s="282">
        <f t="shared" si="63"/>
        <v>7</v>
      </c>
      <c r="C242" s="26"/>
      <c r="D242" s="23"/>
      <c r="E242" s="23"/>
      <c r="F242" s="361" t="s">
        <v>239</v>
      </c>
      <c r="G242" s="362"/>
      <c r="H242" s="25">
        <f t="shared" ref="H242:L242" si="79">SUM(H243:H244)</f>
        <v>-3533255.17</v>
      </c>
      <c r="I242" s="25">
        <f t="shared" si="79"/>
        <v>-3883922.14</v>
      </c>
      <c r="J242" s="129">
        <f t="shared" si="79"/>
        <v>-3800000</v>
      </c>
      <c r="K242" s="129">
        <f t="shared" si="79"/>
        <v>-4081579.06</v>
      </c>
      <c r="L242" s="140">
        <f t="shared" si="79"/>
        <v>-3890000</v>
      </c>
      <c r="O242" s="88">
        <f t="shared" si="58"/>
        <v>90000</v>
      </c>
      <c r="P242" s="123">
        <f t="shared" si="59"/>
        <v>1.0236842105263158</v>
      </c>
      <c r="Q242" s="88">
        <f t="shared" si="60"/>
        <v>6077.8599999998696</v>
      </c>
      <c r="R242" s="123">
        <f t="shared" si="61"/>
        <v>1.0015648768901428</v>
      </c>
      <c r="S242" s="88">
        <f t="shared" si="64"/>
        <v>-191579.06000000006</v>
      </c>
      <c r="T242" s="124">
        <f t="shared" si="65"/>
        <v>0.95306251399672748</v>
      </c>
      <c r="U242" s="88">
        <f t="shared" si="66"/>
        <v>197656.91999999993</v>
      </c>
      <c r="V242" s="124">
        <f t="shared" si="67"/>
        <v>1.0508910613743663</v>
      </c>
      <c r="W242" s="157">
        <f t="shared" si="62"/>
        <v>7</v>
      </c>
    </row>
    <row r="243" spans="1:23" ht="11.25" customHeight="1" x14ac:dyDescent="0.25">
      <c r="A243" s="42" t="s">
        <v>1146</v>
      </c>
      <c r="B243" s="282">
        <f t="shared" si="63"/>
        <v>11</v>
      </c>
      <c r="C243" s="20" t="s">
        <v>1432</v>
      </c>
      <c r="D243" s="20" t="s">
        <v>920</v>
      </c>
      <c r="E243" s="20" t="s">
        <v>1244</v>
      </c>
      <c r="F243" s="359" t="s">
        <v>240</v>
      </c>
      <c r="G243" s="360"/>
      <c r="H243" s="11">
        <v>-2809390</v>
      </c>
      <c r="I243" s="11">
        <v>-3252904</v>
      </c>
      <c r="J243" s="336">
        <v>-3800000</v>
      </c>
      <c r="K243" s="130">
        <v>-3447341</v>
      </c>
      <c r="L243" s="142">
        <v>-3890000</v>
      </c>
      <c r="O243" s="88">
        <f t="shared" si="58"/>
        <v>90000</v>
      </c>
      <c r="P243" s="123">
        <f t="shared" si="59"/>
        <v>1.0236842105263158</v>
      </c>
      <c r="Q243" s="88">
        <f t="shared" si="60"/>
        <v>637096</v>
      </c>
      <c r="R243" s="123">
        <f t="shared" si="61"/>
        <v>1.1958545349017371</v>
      </c>
      <c r="S243" s="88">
        <f t="shared" si="64"/>
        <v>442659</v>
      </c>
      <c r="T243" s="124">
        <f t="shared" si="65"/>
        <v>1.1284059221295486</v>
      </c>
      <c r="U243" s="88">
        <f t="shared" si="66"/>
        <v>194437</v>
      </c>
      <c r="V243" s="124">
        <f t="shared" si="67"/>
        <v>1.0597733594351386</v>
      </c>
      <c r="W243" s="157">
        <f t="shared" si="62"/>
        <v>11</v>
      </c>
    </row>
    <row r="244" spans="1:23" ht="11.25" customHeight="1" x14ac:dyDescent="0.25">
      <c r="A244" s="42" t="s">
        <v>1147</v>
      </c>
      <c r="B244" s="282">
        <f t="shared" si="63"/>
        <v>11</v>
      </c>
      <c r="C244" s="20" t="s">
        <v>1432</v>
      </c>
      <c r="D244" s="20" t="s">
        <v>920</v>
      </c>
      <c r="E244" s="20" t="s">
        <v>1244</v>
      </c>
      <c r="F244" s="359" t="s">
        <v>241</v>
      </c>
      <c r="G244" s="360"/>
      <c r="H244" s="11">
        <v>-723865.17</v>
      </c>
      <c r="I244" s="11">
        <v>-631018.14</v>
      </c>
      <c r="J244" s="336">
        <v>0</v>
      </c>
      <c r="K244" s="130">
        <v>-634238.06000000006</v>
      </c>
      <c r="L244" s="142">
        <v>0</v>
      </c>
      <c r="O244" s="88">
        <f t="shared" si="58"/>
        <v>0</v>
      </c>
      <c r="P244" s="123" t="str">
        <f t="shared" si="59"/>
        <v/>
      </c>
      <c r="Q244" s="88">
        <f t="shared" si="60"/>
        <v>-631018.14</v>
      </c>
      <c r="R244" s="123">
        <f t="shared" si="61"/>
        <v>0</v>
      </c>
      <c r="S244" s="88">
        <f t="shared" si="64"/>
        <v>-634238.06000000006</v>
      </c>
      <c r="T244" s="124">
        <f t="shared" si="65"/>
        <v>0</v>
      </c>
      <c r="U244" s="88">
        <f t="shared" si="66"/>
        <v>3219.9200000000419</v>
      </c>
      <c r="V244" s="124">
        <f t="shared" si="67"/>
        <v>1.0051027376170201</v>
      </c>
      <c r="W244" s="157">
        <f t="shared" si="62"/>
        <v>11</v>
      </c>
    </row>
    <row r="245" spans="1:23" ht="11.25" customHeight="1" x14ac:dyDescent="0.25">
      <c r="A245" s="26" t="s">
        <v>1148</v>
      </c>
      <c r="B245" s="282">
        <f t="shared" si="63"/>
        <v>7</v>
      </c>
      <c r="C245" s="26"/>
      <c r="D245" s="23"/>
      <c r="E245" s="23"/>
      <c r="F245" s="361" t="s">
        <v>242</v>
      </c>
      <c r="G245" s="362"/>
      <c r="H245" s="25">
        <f t="shared" ref="H245:L245" si="80">SUM(H246)</f>
        <v>-681989</v>
      </c>
      <c r="I245" s="25">
        <f t="shared" si="80"/>
        <v>-675840</v>
      </c>
      <c r="J245" s="129">
        <f t="shared" si="80"/>
        <v>-669999.99999999302</v>
      </c>
      <c r="K245" s="129">
        <f t="shared" si="80"/>
        <v>-652887</v>
      </c>
      <c r="L245" s="140">
        <f t="shared" si="80"/>
        <v>-646503</v>
      </c>
      <c r="O245" s="88">
        <f t="shared" si="58"/>
        <v>-23496.999999993015</v>
      </c>
      <c r="P245" s="123">
        <f t="shared" si="59"/>
        <v>0.96492985074627868</v>
      </c>
      <c r="Q245" s="88">
        <f t="shared" si="60"/>
        <v>-29337</v>
      </c>
      <c r="R245" s="123">
        <f t="shared" si="61"/>
        <v>0.95659179687499996</v>
      </c>
      <c r="S245" s="88">
        <f t="shared" si="64"/>
        <v>-6384</v>
      </c>
      <c r="T245" s="124">
        <f t="shared" si="65"/>
        <v>0.99022189138396077</v>
      </c>
      <c r="U245" s="88">
        <f t="shared" si="66"/>
        <v>-22953</v>
      </c>
      <c r="V245" s="124">
        <f t="shared" si="67"/>
        <v>0.96603781960227275</v>
      </c>
      <c r="W245" s="157">
        <f t="shared" si="62"/>
        <v>7</v>
      </c>
    </row>
    <row r="246" spans="1:23" ht="11.25" customHeight="1" x14ac:dyDescent="0.25">
      <c r="A246" s="42" t="s">
        <v>1149</v>
      </c>
      <c r="B246" s="282">
        <f t="shared" si="63"/>
        <v>11</v>
      </c>
      <c r="C246" s="27" t="s">
        <v>916</v>
      </c>
      <c r="D246" s="28" t="s">
        <v>919</v>
      </c>
      <c r="E246" s="28" t="s">
        <v>917</v>
      </c>
      <c r="F246" s="359" t="s">
        <v>243</v>
      </c>
      <c r="G246" s="360"/>
      <c r="H246" s="11">
        <v>-681989</v>
      </c>
      <c r="I246" s="11">
        <v>-675840</v>
      </c>
      <c r="J246" s="336">
        <v>-669999.99999999302</v>
      </c>
      <c r="K246" s="130">
        <v>-652887</v>
      </c>
      <c r="L246" s="142">
        <v>-646503</v>
      </c>
      <c r="O246" s="88">
        <f t="shared" si="58"/>
        <v>-23496.999999993015</v>
      </c>
      <c r="P246" s="123">
        <f t="shared" si="59"/>
        <v>0.96492985074627868</v>
      </c>
      <c r="Q246" s="88">
        <f t="shared" si="60"/>
        <v>-29337</v>
      </c>
      <c r="R246" s="123">
        <f t="shared" si="61"/>
        <v>0.95659179687499996</v>
      </c>
      <c r="S246" s="88">
        <f t="shared" si="64"/>
        <v>-6384</v>
      </c>
      <c r="T246" s="124">
        <f t="shared" si="65"/>
        <v>0.99022189138396077</v>
      </c>
      <c r="U246" s="88">
        <f t="shared" si="66"/>
        <v>-22953</v>
      </c>
      <c r="V246" s="124">
        <f t="shared" si="67"/>
        <v>0.96603781960227275</v>
      </c>
      <c r="W246" s="157">
        <f t="shared" si="62"/>
        <v>11</v>
      </c>
    </row>
    <row r="247" spans="1:23" ht="11.25" customHeight="1" x14ac:dyDescent="0.25">
      <c r="A247" s="26" t="s">
        <v>1150</v>
      </c>
      <c r="B247" s="282">
        <f t="shared" si="63"/>
        <v>7</v>
      </c>
      <c r="C247" s="26"/>
      <c r="D247" s="23"/>
      <c r="E247" s="23"/>
      <c r="F247" s="361" t="s">
        <v>244</v>
      </c>
      <c r="G247" s="362"/>
      <c r="H247" s="25">
        <f t="shared" ref="H247:L247" si="81">SUM(H248:H249)</f>
        <v>-2851599.9299999997</v>
      </c>
      <c r="I247" s="25">
        <f t="shared" si="81"/>
        <v>-3318207.8899999997</v>
      </c>
      <c r="J247" s="129">
        <f t="shared" si="81"/>
        <v>-2300000</v>
      </c>
      <c r="K247" s="129">
        <f t="shared" si="81"/>
        <v>-4594064.0600000005</v>
      </c>
      <c r="L247" s="140">
        <f t="shared" si="81"/>
        <v>-4008000</v>
      </c>
      <c r="O247" s="88">
        <f t="shared" si="58"/>
        <v>1708000</v>
      </c>
      <c r="P247" s="123">
        <f t="shared" si="59"/>
        <v>1.742608695652174</v>
      </c>
      <c r="Q247" s="88">
        <f t="shared" si="60"/>
        <v>689792.11000000034</v>
      </c>
      <c r="R247" s="123">
        <f t="shared" si="61"/>
        <v>1.2078809203241332</v>
      </c>
      <c r="S247" s="88">
        <f t="shared" si="64"/>
        <v>-586064.06000000052</v>
      </c>
      <c r="T247" s="124">
        <f t="shared" si="65"/>
        <v>0.87243015065836926</v>
      </c>
      <c r="U247" s="88">
        <f t="shared" si="66"/>
        <v>1275856.1700000009</v>
      </c>
      <c r="V247" s="124">
        <f t="shared" si="67"/>
        <v>1.3845015780491079</v>
      </c>
      <c r="W247" s="157">
        <f t="shared" si="62"/>
        <v>7</v>
      </c>
    </row>
    <row r="248" spans="1:23" ht="11.25" customHeight="1" x14ac:dyDescent="0.25">
      <c r="A248" s="42" t="s">
        <v>1151</v>
      </c>
      <c r="B248" s="282">
        <f t="shared" si="63"/>
        <v>11</v>
      </c>
      <c r="C248" s="20" t="s">
        <v>1243</v>
      </c>
      <c r="D248" s="20" t="s">
        <v>920</v>
      </c>
      <c r="E248" s="20" t="s">
        <v>1245</v>
      </c>
      <c r="F248" s="359" t="s">
        <v>245</v>
      </c>
      <c r="G248" s="360"/>
      <c r="H248" s="11">
        <v>-1629143</v>
      </c>
      <c r="I248" s="11">
        <v>-1949869</v>
      </c>
      <c r="J248" s="336">
        <v>-2300000</v>
      </c>
      <c r="K248" s="130">
        <v>-2557130</v>
      </c>
      <c r="L248" s="142">
        <f>-2808000-1200000</f>
        <v>-4008000</v>
      </c>
      <c r="O248" s="88">
        <f t="shared" si="58"/>
        <v>1708000</v>
      </c>
      <c r="P248" s="123">
        <f t="shared" si="59"/>
        <v>1.742608695652174</v>
      </c>
      <c r="Q248" s="88">
        <f t="shared" si="60"/>
        <v>2058131</v>
      </c>
      <c r="R248" s="123">
        <f t="shared" si="61"/>
        <v>2.0555227043457793</v>
      </c>
      <c r="S248" s="88">
        <f t="shared" si="64"/>
        <v>1450870</v>
      </c>
      <c r="T248" s="124">
        <f t="shared" si="65"/>
        <v>1.5673821823685148</v>
      </c>
      <c r="U248" s="88">
        <f t="shared" si="66"/>
        <v>607261</v>
      </c>
      <c r="V248" s="124">
        <f t="shared" si="67"/>
        <v>1.3114368196017272</v>
      </c>
      <c r="W248" s="157">
        <f t="shared" si="62"/>
        <v>11</v>
      </c>
    </row>
    <row r="249" spans="1:23" ht="11.25" customHeight="1" x14ac:dyDescent="0.25">
      <c r="A249" s="42" t="s">
        <v>1152</v>
      </c>
      <c r="B249" s="282">
        <f t="shared" si="63"/>
        <v>11</v>
      </c>
      <c r="C249" s="20" t="s">
        <v>1243</v>
      </c>
      <c r="D249" s="20" t="s">
        <v>920</v>
      </c>
      <c r="E249" s="20" t="s">
        <v>1245</v>
      </c>
      <c r="F249" s="359" t="s">
        <v>246</v>
      </c>
      <c r="G249" s="360"/>
      <c r="H249" s="11">
        <v>-1222456.93</v>
      </c>
      <c r="I249" s="11">
        <v>-1368338.89</v>
      </c>
      <c r="J249" s="336">
        <v>0</v>
      </c>
      <c r="K249" s="130">
        <v>-2036934.06</v>
      </c>
      <c r="L249" s="142">
        <v>0</v>
      </c>
      <c r="O249" s="88">
        <f t="shared" si="58"/>
        <v>0</v>
      </c>
      <c r="P249" s="123" t="str">
        <f t="shared" si="59"/>
        <v/>
      </c>
      <c r="Q249" s="88">
        <f t="shared" si="60"/>
        <v>-1368338.89</v>
      </c>
      <c r="R249" s="123">
        <f t="shared" si="61"/>
        <v>0</v>
      </c>
      <c r="S249" s="88">
        <f t="shared" si="64"/>
        <v>-2036934.06</v>
      </c>
      <c r="T249" s="124">
        <f t="shared" si="65"/>
        <v>0</v>
      </c>
      <c r="U249" s="88">
        <f t="shared" si="66"/>
        <v>668595.17000000016</v>
      </c>
      <c r="V249" s="124">
        <f t="shared" si="67"/>
        <v>1.488618115648237</v>
      </c>
      <c r="W249" s="157">
        <f t="shared" si="62"/>
        <v>11</v>
      </c>
    </row>
    <row r="250" spans="1:23" ht="11.25" customHeight="1" x14ac:dyDescent="0.25">
      <c r="A250" s="26" t="s">
        <v>1153</v>
      </c>
      <c r="B250" s="282">
        <f t="shared" si="63"/>
        <v>7</v>
      </c>
      <c r="C250" s="26"/>
      <c r="D250" s="23"/>
      <c r="E250" s="23"/>
      <c r="F250" s="361" t="s">
        <v>247</v>
      </c>
      <c r="G250" s="362"/>
      <c r="H250" s="25">
        <f t="shared" ref="H250:L250" si="82">SUM(H251)</f>
        <v>-949807.81</v>
      </c>
      <c r="I250" s="25">
        <f t="shared" si="82"/>
        <v>-865432.82</v>
      </c>
      <c r="J250" s="129">
        <f t="shared" si="82"/>
        <v>-999999.99999999604</v>
      </c>
      <c r="K250" s="129">
        <f t="shared" si="82"/>
        <v>-1045299.81</v>
      </c>
      <c r="L250" s="140">
        <f t="shared" si="82"/>
        <v>-1000000</v>
      </c>
      <c r="O250" s="88">
        <f t="shared" si="58"/>
        <v>3.9581209421157837E-9</v>
      </c>
      <c r="P250" s="123">
        <f t="shared" si="59"/>
        <v>1.000000000000004</v>
      </c>
      <c r="Q250" s="88">
        <f t="shared" si="60"/>
        <v>134567.18000000005</v>
      </c>
      <c r="R250" s="123">
        <f t="shared" si="61"/>
        <v>1.1554911911013499</v>
      </c>
      <c r="S250" s="88">
        <f t="shared" si="64"/>
        <v>-45299.810000000056</v>
      </c>
      <c r="T250" s="124">
        <f t="shared" si="65"/>
        <v>0.95666333279061821</v>
      </c>
      <c r="U250" s="88">
        <f t="shared" si="66"/>
        <v>179866.99000000011</v>
      </c>
      <c r="V250" s="124">
        <f t="shared" si="67"/>
        <v>1.2078347225149146</v>
      </c>
      <c r="W250" s="157">
        <f t="shared" si="62"/>
        <v>7</v>
      </c>
    </row>
    <row r="251" spans="1:23" ht="11.25" customHeight="1" x14ac:dyDescent="0.25">
      <c r="A251" s="42" t="s">
        <v>1154</v>
      </c>
      <c r="B251" s="282">
        <f t="shared" si="63"/>
        <v>11</v>
      </c>
      <c r="C251" s="20" t="s">
        <v>916</v>
      </c>
      <c r="D251" s="20" t="s">
        <v>920</v>
      </c>
      <c r="E251" s="20" t="s">
        <v>917</v>
      </c>
      <c r="F251" s="359" t="s">
        <v>248</v>
      </c>
      <c r="G251" s="360"/>
      <c r="H251" s="11">
        <v>-949807.81</v>
      </c>
      <c r="I251" s="11">
        <v>-865432.82</v>
      </c>
      <c r="J251" s="336">
        <v>-999999.99999999604</v>
      </c>
      <c r="K251" s="130">
        <v>-1045299.81</v>
      </c>
      <c r="L251" s="142">
        <v>-1000000</v>
      </c>
      <c r="O251" s="88">
        <f t="shared" si="58"/>
        <v>3.9581209421157837E-9</v>
      </c>
      <c r="P251" s="123">
        <f t="shared" si="59"/>
        <v>1.000000000000004</v>
      </c>
      <c r="Q251" s="88">
        <f t="shared" si="60"/>
        <v>134567.18000000005</v>
      </c>
      <c r="R251" s="123">
        <f t="shared" si="61"/>
        <v>1.1554911911013499</v>
      </c>
      <c r="S251" s="88">
        <f t="shared" si="64"/>
        <v>-45299.810000000056</v>
      </c>
      <c r="T251" s="124">
        <f t="shared" si="65"/>
        <v>0.95666333279061821</v>
      </c>
      <c r="U251" s="88">
        <f t="shared" si="66"/>
        <v>179866.99000000011</v>
      </c>
      <c r="V251" s="124">
        <f t="shared" si="67"/>
        <v>1.2078347225149146</v>
      </c>
      <c r="W251" s="157">
        <f t="shared" si="62"/>
        <v>11</v>
      </c>
    </row>
    <row r="252" spans="1:23" ht="11.25" customHeight="1" x14ac:dyDescent="0.25">
      <c r="A252" s="38" t="s">
        <v>249</v>
      </c>
      <c r="B252" s="282">
        <f t="shared" si="63"/>
        <v>4</v>
      </c>
      <c r="C252" s="38"/>
      <c r="D252" s="22"/>
      <c r="E252" s="22"/>
      <c r="F252" s="365" t="s">
        <v>250</v>
      </c>
      <c r="G252" s="366"/>
      <c r="H252" s="37">
        <f t="shared" ref="H252:L252" si="83">H253</f>
        <v>-252410.87</v>
      </c>
      <c r="I252" s="37">
        <f t="shared" si="83"/>
        <v>-205714.66</v>
      </c>
      <c r="J252" s="128">
        <f t="shared" si="83"/>
        <v>-399999.99999998801</v>
      </c>
      <c r="K252" s="341">
        <f t="shared" si="83"/>
        <v>-186209.93</v>
      </c>
      <c r="L252" s="139">
        <f t="shared" si="83"/>
        <v>-250000</v>
      </c>
      <c r="O252" s="175">
        <f t="shared" si="58"/>
        <v>-149999.99999998801</v>
      </c>
      <c r="P252" s="176">
        <f t="shared" si="59"/>
        <v>0.62500000000001876</v>
      </c>
      <c r="Q252" s="175">
        <f t="shared" si="60"/>
        <v>44285.34</v>
      </c>
      <c r="R252" s="176">
        <f t="shared" si="61"/>
        <v>1.2152755666513995</v>
      </c>
      <c r="S252" s="175">
        <f t="shared" si="64"/>
        <v>63790.070000000007</v>
      </c>
      <c r="T252" s="177">
        <f t="shared" si="65"/>
        <v>1.3425707211210487</v>
      </c>
      <c r="U252" s="175">
        <f t="shared" si="66"/>
        <v>-19504.73000000001</v>
      </c>
      <c r="V252" s="177">
        <f t="shared" si="67"/>
        <v>0.90518551278746973</v>
      </c>
      <c r="W252" s="157">
        <f t="shared" si="62"/>
        <v>4</v>
      </c>
    </row>
    <row r="253" spans="1:23" ht="11.25" customHeight="1" x14ac:dyDescent="0.25">
      <c r="A253" s="26" t="s">
        <v>1155</v>
      </c>
      <c r="B253" s="282">
        <f t="shared" si="63"/>
        <v>7</v>
      </c>
      <c r="C253" s="26"/>
      <c r="D253" s="23"/>
      <c r="E253" s="23"/>
      <c r="F253" s="361" t="s">
        <v>251</v>
      </c>
      <c r="G253" s="362"/>
      <c r="H253" s="25">
        <f t="shared" ref="H253:L253" si="84">SUM(H254:H255)</f>
        <v>-252410.87</v>
      </c>
      <c r="I253" s="25">
        <f t="shared" si="84"/>
        <v>-205714.66</v>
      </c>
      <c r="J253" s="129">
        <f t="shared" si="84"/>
        <v>-399999.99999998801</v>
      </c>
      <c r="K253" s="129">
        <f t="shared" si="84"/>
        <v>-186209.93</v>
      </c>
      <c r="L253" s="140">
        <f t="shared" si="84"/>
        <v>-250000</v>
      </c>
      <c r="O253" s="88">
        <f t="shared" si="58"/>
        <v>-149999.99999998801</v>
      </c>
      <c r="P253" s="123">
        <f t="shared" si="59"/>
        <v>0.62500000000001876</v>
      </c>
      <c r="Q253" s="88">
        <f t="shared" si="60"/>
        <v>44285.34</v>
      </c>
      <c r="R253" s="123">
        <f t="shared" si="61"/>
        <v>1.2152755666513995</v>
      </c>
      <c r="S253" s="88">
        <f t="shared" si="64"/>
        <v>63790.070000000007</v>
      </c>
      <c r="T253" s="124">
        <f t="shared" si="65"/>
        <v>1.3425707211210487</v>
      </c>
      <c r="U253" s="88">
        <f t="shared" si="66"/>
        <v>-19504.73000000001</v>
      </c>
      <c r="V253" s="124">
        <f t="shared" si="67"/>
        <v>0.90518551278746973</v>
      </c>
      <c r="W253" s="157">
        <f t="shared" si="62"/>
        <v>7</v>
      </c>
    </row>
    <row r="254" spans="1:23" ht="11.25" customHeight="1" x14ac:dyDescent="0.25">
      <c r="A254" s="42" t="s">
        <v>1156</v>
      </c>
      <c r="B254" s="282">
        <f t="shared" si="63"/>
        <v>11</v>
      </c>
      <c r="C254" s="27" t="s">
        <v>916</v>
      </c>
      <c r="D254" s="28" t="s">
        <v>920</v>
      </c>
      <c r="E254" s="28" t="s">
        <v>917</v>
      </c>
      <c r="F254" s="359" t="s">
        <v>252</v>
      </c>
      <c r="G254" s="360"/>
      <c r="H254" s="11">
        <v>-224401.22</v>
      </c>
      <c r="I254" s="11">
        <v>-172962.25</v>
      </c>
      <c r="J254" s="336">
        <v>-249999.99999999299</v>
      </c>
      <c r="K254" s="130">
        <v>-166581.10999999999</v>
      </c>
      <c r="L254" s="142">
        <v>-200000</v>
      </c>
      <c r="O254" s="88">
        <f t="shared" si="58"/>
        <v>-49999.999999992986</v>
      </c>
      <c r="P254" s="123">
        <f t="shared" si="59"/>
        <v>0.80000000000002247</v>
      </c>
      <c r="Q254" s="88">
        <f t="shared" si="60"/>
        <v>27037.75</v>
      </c>
      <c r="R254" s="123">
        <f t="shared" si="61"/>
        <v>1.1563216829105774</v>
      </c>
      <c r="S254" s="88">
        <f t="shared" si="64"/>
        <v>33418.890000000014</v>
      </c>
      <c r="T254" s="124">
        <f t="shared" si="65"/>
        <v>1.2006163243839594</v>
      </c>
      <c r="U254" s="88">
        <f t="shared" si="66"/>
        <v>-6381.140000000014</v>
      </c>
      <c r="V254" s="124">
        <f t="shared" si="67"/>
        <v>0.96310674728155987</v>
      </c>
      <c r="W254" s="157">
        <f t="shared" si="62"/>
        <v>11</v>
      </c>
    </row>
    <row r="255" spans="1:23" ht="11.25" customHeight="1" x14ac:dyDescent="0.25">
      <c r="A255" s="42" t="s">
        <v>1157</v>
      </c>
      <c r="B255" s="282">
        <f t="shared" si="63"/>
        <v>11</v>
      </c>
      <c r="C255" s="27" t="s">
        <v>916</v>
      </c>
      <c r="D255" s="28" t="s">
        <v>920</v>
      </c>
      <c r="E255" s="28" t="s">
        <v>917</v>
      </c>
      <c r="F255" s="359" t="s">
        <v>253</v>
      </c>
      <c r="G255" s="360"/>
      <c r="H255" s="11">
        <v>-28009.65</v>
      </c>
      <c r="I255" s="11">
        <v>-32752.41</v>
      </c>
      <c r="J255" s="336">
        <v>-149999.99999999499</v>
      </c>
      <c r="K255" s="130">
        <v>-19628.82</v>
      </c>
      <c r="L255" s="142">
        <v>-50000</v>
      </c>
      <c r="O255" s="88">
        <f t="shared" si="58"/>
        <v>-99999.999999994994</v>
      </c>
      <c r="P255" s="123">
        <f t="shared" si="59"/>
        <v>0.33333333333334447</v>
      </c>
      <c r="Q255" s="88">
        <f t="shared" si="60"/>
        <v>17247.59</v>
      </c>
      <c r="R255" s="123">
        <f t="shared" si="61"/>
        <v>1.5266052177534417</v>
      </c>
      <c r="S255" s="88">
        <f t="shared" si="64"/>
        <v>30371.18</v>
      </c>
      <c r="T255" s="124">
        <f t="shared" si="65"/>
        <v>2.5472748743938758</v>
      </c>
      <c r="U255" s="88">
        <f t="shared" si="66"/>
        <v>-13123.59</v>
      </c>
      <c r="V255" s="124">
        <f t="shared" si="67"/>
        <v>0.59930918060686222</v>
      </c>
      <c r="W255" s="157">
        <f t="shared" si="62"/>
        <v>11</v>
      </c>
    </row>
    <row r="256" spans="1:23" ht="11.25" customHeight="1" x14ac:dyDescent="0.25">
      <c r="A256" s="38" t="s">
        <v>254</v>
      </c>
      <c r="B256" s="282">
        <f t="shared" si="63"/>
        <v>4</v>
      </c>
      <c r="C256" s="38"/>
      <c r="D256" s="22"/>
      <c r="E256" s="22"/>
      <c r="F256" s="365" t="s">
        <v>255</v>
      </c>
      <c r="G256" s="366"/>
      <c r="H256" s="37">
        <f t="shared" ref="H256:K256" si="85">H257+H259+H261+H265+H271+H273+H282+H286+H299+H301+H303+H320+H323</f>
        <v>-172834486.14000019</v>
      </c>
      <c r="I256" s="37">
        <f t="shared" si="85"/>
        <v>-177278442.31000012</v>
      </c>
      <c r="J256" s="128">
        <f t="shared" si="85"/>
        <v>-211456407.7537322</v>
      </c>
      <c r="K256" s="341">
        <f t="shared" si="85"/>
        <v>-242326433.19</v>
      </c>
      <c r="L256" s="139">
        <f>L257+L259+L261+L265+L271+L273+L282+L286+L299+L301+L303+L320+L323</f>
        <v>-278189177.90999997</v>
      </c>
      <c r="O256" s="175">
        <f t="shared" si="58"/>
        <v>66732770.156267762</v>
      </c>
      <c r="P256" s="176">
        <f t="shared" si="59"/>
        <v>1.3155864173857834</v>
      </c>
      <c r="Q256" s="175">
        <f t="shared" si="60"/>
        <v>100910735.59999985</v>
      </c>
      <c r="R256" s="176">
        <f t="shared" si="61"/>
        <v>1.5692216960229211</v>
      </c>
      <c r="S256" s="175">
        <f t="shared" si="64"/>
        <v>35862744.719999969</v>
      </c>
      <c r="T256" s="177">
        <f t="shared" si="65"/>
        <v>1.1479935318978645</v>
      </c>
      <c r="U256" s="175">
        <f t="shared" si="66"/>
        <v>65047990.879999876</v>
      </c>
      <c r="V256" s="177">
        <f t="shared" si="67"/>
        <v>1.3669255552587321</v>
      </c>
      <c r="W256" s="157">
        <f t="shared" si="62"/>
        <v>4</v>
      </c>
    </row>
    <row r="257" spans="1:23" ht="11.25" customHeight="1" x14ac:dyDescent="0.25">
      <c r="A257" s="26" t="s">
        <v>1158</v>
      </c>
      <c r="B257" s="282">
        <f t="shared" si="63"/>
        <v>7</v>
      </c>
      <c r="C257" s="26"/>
      <c r="D257" s="23"/>
      <c r="E257" s="23"/>
      <c r="F257" s="361" t="s">
        <v>256</v>
      </c>
      <c r="G257" s="362"/>
      <c r="H257" s="25">
        <f t="shared" ref="H257:L257" si="86">SUM(H258)</f>
        <v>58793.79</v>
      </c>
      <c r="I257" s="25">
        <f t="shared" si="86"/>
        <v>37323.39</v>
      </c>
      <c r="J257" s="129">
        <f t="shared" si="86"/>
        <v>0</v>
      </c>
      <c r="K257" s="129">
        <f t="shared" si="86"/>
        <v>47714.93</v>
      </c>
      <c r="L257" s="140">
        <f t="shared" si="86"/>
        <v>0</v>
      </c>
      <c r="O257" s="88">
        <f t="shared" si="58"/>
        <v>0</v>
      </c>
      <c r="P257" s="123" t="str">
        <f t="shared" si="59"/>
        <v/>
      </c>
      <c r="Q257" s="88">
        <f t="shared" si="60"/>
        <v>37323.39</v>
      </c>
      <c r="R257" s="123">
        <f t="shared" si="61"/>
        <v>0</v>
      </c>
      <c r="S257" s="88">
        <f t="shared" si="64"/>
        <v>47714.93</v>
      </c>
      <c r="T257" s="124">
        <f t="shared" si="65"/>
        <v>0</v>
      </c>
      <c r="U257" s="88">
        <f t="shared" si="66"/>
        <v>-10391.540000000001</v>
      </c>
      <c r="V257" s="124">
        <f t="shared" si="67"/>
        <v>1.2784189753395927</v>
      </c>
      <c r="W257" s="157">
        <f t="shared" si="62"/>
        <v>7</v>
      </c>
    </row>
    <row r="258" spans="1:23" ht="11.25" customHeight="1" x14ac:dyDescent="0.25">
      <c r="A258" s="42" t="s">
        <v>1159</v>
      </c>
      <c r="B258" s="282">
        <f t="shared" si="63"/>
        <v>11</v>
      </c>
      <c r="C258" s="14"/>
      <c r="D258" s="13"/>
      <c r="E258" s="13"/>
      <c r="F258" s="359" t="s">
        <v>257</v>
      </c>
      <c r="G258" s="360"/>
      <c r="H258" s="11">
        <v>58793.79</v>
      </c>
      <c r="I258" s="11">
        <v>37323.39</v>
      </c>
      <c r="J258" s="336">
        <v>0</v>
      </c>
      <c r="K258" s="130">
        <v>47714.93</v>
      </c>
      <c r="L258" s="141"/>
      <c r="O258" s="88">
        <f t="shared" si="58"/>
        <v>0</v>
      </c>
      <c r="P258" s="123" t="str">
        <f t="shared" si="59"/>
        <v/>
      </c>
      <c r="Q258" s="88">
        <f t="shared" si="60"/>
        <v>37323.39</v>
      </c>
      <c r="R258" s="123">
        <f t="shared" si="61"/>
        <v>0</v>
      </c>
      <c r="S258" s="88">
        <f t="shared" si="64"/>
        <v>47714.93</v>
      </c>
      <c r="T258" s="124">
        <f t="shared" si="65"/>
        <v>0</v>
      </c>
      <c r="U258" s="88">
        <f t="shared" si="66"/>
        <v>-10391.540000000001</v>
      </c>
      <c r="V258" s="124">
        <f t="shared" si="67"/>
        <v>1.2784189753395927</v>
      </c>
      <c r="W258" s="157">
        <f t="shared" si="62"/>
        <v>11</v>
      </c>
    </row>
    <row r="259" spans="1:23" ht="11.25" customHeight="1" x14ac:dyDescent="0.25">
      <c r="A259" s="26" t="s">
        <v>1160</v>
      </c>
      <c r="B259" s="282">
        <f t="shared" si="63"/>
        <v>7</v>
      </c>
      <c r="C259" s="26"/>
      <c r="D259" s="23"/>
      <c r="E259" s="23"/>
      <c r="F259" s="361" t="s">
        <v>258</v>
      </c>
      <c r="G259" s="362"/>
      <c r="H259" s="25">
        <f t="shared" ref="H259:L259" si="87">SUM(H260)</f>
        <v>-359369.19</v>
      </c>
      <c r="I259" s="25">
        <f t="shared" si="87"/>
        <v>-585354.77</v>
      </c>
      <c r="J259" s="129">
        <f t="shared" si="87"/>
        <v>-549999.99999997998</v>
      </c>
      <c r="K259" s="129">
        <f t="shared" si="87"/>
        <v>-572975.77</v>
      </c>
      <c r="L259" s="140">
        <f t="shared" si="87"/>
        <v>-500000</v>
      </c>
      <c r="O259" s="88">
        <f t="shared" si="58"/>
        <v>-49999.999999979977</v>
      </c>
      <c r="P259" s="123">
        <f t="shared" si="59"/>
        <v>0.90909090909094215</v>
      </c>
      <c r="Q259" s="88">
        <f t="shared" si="60"/>
        <v>-85354.770000000019</v>
      </c>
      <c r="R259" s="123">
        <f t="shared" si="61"/>
        <v>0.85418284026283753</v>
      </c>
      <c r="S259" s="88">
        <f t="shared" si="64"/>
        <v>-72975.770000000019</v>
      </c>
      <c r="T259" s="124">
        <f t="shared" si="65"/>
        <v>0.87263724956467181</v>
      </c>
      <c r="U259" s="88">
        <f t="shared" si="66"/>
        <v>-12379</v>
      </c>
      <c r="V259" s="124">
        <f t="shared" si="67"/>
        <v>0.97885214124077269</v>
      </c>
      <c r="W259" s="157">
        <f t="shared" si="62"/>
        <v>7</v>
      </c>
    </row>
    <row r="260" spans="1:23" ht="11.25" customHeight="1" x14ac:dyDescent="0.25">
      <c r="A260" s="42" t="s">
        <v>1161</v>
      </c>
      <c r="B260" s="282">
        <f t="shared" si="63"/>
        <v>11</v>
      </c>
      <c r="C260" s="27" t="s">
        <v>916</v>
      </c>
      <c r="D260" s="28" t="s">
        <v>919</v>
      </c>
      <c r="E260" s="28" t="s">
        <v>917</v>
      </c>
      <c r="F260" s="359" t="s">
        <v>259</v>
      </c>
      <c r="G260" s="360"/>
      <c r="H260" s="11">
        <v>-359369.19</v>
      </c>
      <c r="I260" s="11">
        <v>-585354.77</v>
      </c>
      <c r="J260" s="336">
        <v>-549999.99999997998</v>
      </c>
      <c r="K260" s="130">
        <v>-572975.77</v>
      </c>
      <c r="L260" s="142">
        <v>-500000</v>
      </c>
      <c r="O260" s="88">
        <f t="shared" si="58"/>
        <v>-49999.999999979977</v>
      </c>
      <c r="P260" s="123">
        <f t="shared" si="59"/>
        <v>0.90909090909094215</v>
      </c>
      <c r="Q260" s="88">
        <f t="shared" si="60"/>
        <v>-85354.770000000019</v>
      </c>
      <c r="R260" s="123">
        <f t="shared" si="61"/>
        <v>0.85418284026283753</v>
      </c>
      <c r="S260" s="88">
        <f t="shared" si="64"/>
        <v>-72975.770000000019</v>
      </c>
      <c r="T260" s="124">
        <f t="shared" si="65"/>
        <v>0.87263724956467181</v>
      </c>
      <c r="U260" s="88">
        <f t="shared" si="66"/>
        <v>-12379</v>
      </c>
      <c r="V260" s="124">
        <f t="shared" si="67"/>
        <v>0.97885214124077269</v>
      </c>
      <c r="W260" s="157">
        <f t="shared" si="62"/>
        <v>11</v>
      </c>
    </row>
    <row r="261" spans="1:23" ht="11.25" customHeight="1" x14ac:dyDescent="0.25">
      <c r="A261" s="26" t="s">
        <v>1162</v>
      </c>
      <c r="B261" s="282">
        <f t="shared" si="63"/>
        <v>7</v>
      </c>
      <c r="C261" s="26"/>
      <c r="D261" s="23"/>
      <c r="E261" s="23"/>
      <c r="F261" s="379" t="s">
        <v>260</v>
      </c>
      <c r="G261" s="380"/>
      <c r="H261" s="25">
        <f t="shared" ref="H261:L261" si="88">SUM(H262:H264)</f>
        <v>-3231328.17</v>
      </c>
      <c r="I261" s="25">
        <f t="shared" si="88"/>
        <v>-3211542.7900000103</v>
      </c>
      <c r="J261" s="129">
        <f t="shared" si="88"/>
        <v>-3259659.4972865591</v>
      </c>
      <c r="K261" s="129">
        <f t="shared" si="88"/>
        <v>-3227635.7800000003</v>
      </c>
      <c r="L261" s="140">
        <f t="shared" si="88"/>
        <v>-3400000</v>
      </c>
      <c r="O261" s="88">
        <f t="shared" si="58"/>
        <v>140340.50271344092</v>
      </c>
      <c r="P261" s="123">
        <f t="shared" si="59"/>
        <v>1.043053730866756</v>
      </c>
      <c r="Q261" s="88">
        <f t="shared" si="60"/>
        <v>188457.20999998972</v>
      </c>
      <c r="R261" s="123">
        <f t="shared" si="61"/>
        <v>1.058681207856486</v>
      </c>
      <c r="S261" s="88">
        <f t="shared" si="64"/>
        <v>172364.21999999974</v>
      </c>
      <c r="T261" s="124">
        <f t="shared" si="65"/>
        <v>1.0534026240098255</v>
      </c>
      <c r="U261" s="88">
        <f t="shared" si="66"/>
        <v>16092.989999989979</v>
      </c>
      <c r="V261" s="124">
        <f t="shared" si="67"/>
        <v>1.0050109841444741</v>
      </c>
      <c r="W261" s="157">
        <f t="shared" si="62"/>
        <v>7</v>
      </c>
    </row>
    <row r="262" spans="1:23" ht="11.25" customHeight="1" x14ac:dyDescent="0.25">
      <c r="A262" s="42" t="s">
        <v>1163</v>
      </c>
      <c r="B262" s="282">
        <f t="shared" si="63"/>
        <v>11</v>
      </c>
      <c r="C262" s="28" t="s">
        <v>916</v>
      </c>
      <c r="D262" s="28" t="s">
        <v>923</v>
      </c>
      <c r="E262" s="28" t="s">
        <v>917</v>
      </c>
      <c r="F262" s="373" t="s">
        <v>261</v>
      </c>
      <c r="G262" s="374"/>
      <c r="H262" s="11">
        <v>-1480879.39</v>
      </c>
      <c r="I262" s="11">
        <v>-1395701.8</v>
      </c>
      <c r="J262" s="336">
        <v>-1399539.0652282301</v>
      </c>
      <c r="K262" s="130">
        <v>-1381117.7</v>
      </c>
      <c r="L262" s="142">
        <v>-1400000</v>
      </c>
      <c r="O262" s="88">
        <f t="shared" si="58"/>
        <v>460.93477176991291</v>
      </c>
      <c r="P262" s="123">
        <f t="shared" si="59"/>
        <v>1.0003293475567934</v>
      </c>
      <c r="Q262" s="88">
        <f t="shared" si="60"/>
        <v>4298.1999999999534</v>
      </c>
      <c r="R262" s="123">
        <f t="shared" si="61"/>
        <v>1.0030795976619074</v>
      </c>
      <c r="S262" s="88">
        <f t="shared" si="64"/>
        <v>18882.300000000047</v>
      </c>
      <c r="T262" s="124">
        <f t="shared" si="65"/>
        <v>1.0136717529577675</v>
      </c>
      <c r="U262" s="88">
        <f t="shared" si="66"/>
        <v>-14584.100000000093</v>
      </c>
      <c r="V262" s="124">
        <f t="shared" si="67"/>
        <v>0.98955070488552777</v>
      </c>
      <c r="W262" s="157">
        <f t="shared" si="62"/>
        <v>11</v>
      </c>
    </row>
    <row r="263" spans="1:23" ht="11.25" customHeight="1" x14ac:dyDescent="0.25">
      <c r="A263" s="42" t="s">
        <v>1164</v>
      </c>
      <c r="B263" s="282">
        <f t="shared" si="63"/>
        <v>11</v>
      </c>
      <c r="C263" s="20" t="s">
        <v>1654</v>
      </c>
      <c r="D263" s="20" t="s">
        <v>919</v>
      </c>
      <c r="E263" s="20" t="s">
        <v>1655</v>
      </c>
      <c r="F263" s="373" t="s">
        <v>262</v>
      </c>
      <c r="G263" s="374"/>
      <c r="H263" s="11">
        <v>-1654199.78</v>
      </c>
      <c r="I263" s="11">
        <v>-1790278.99000001</v>
      </c>
      <c r="J263" s="336">
        <v>-1800120.4320583299</v>
      </c>
      <c r="K263" s="130">
        <v>-1846518.08</v>
      </c>
      <c r="L263" s="142">
        <v>-2000000</v>
      </c>
      <c r="O263" s="88">
        <f t="shared" si="58"/>
        <v>199879.56794167007</v>
      </c>
      <c r="P263" s="123">
        <f t="shared" si="59"/>
        <v>1.1110367753079275</v>
      </c>
      <c r="Q263" s="88">
        <f t="shared" si="60"/>
        <v>209721.00999999</v>
      </c>
      <c r="R263" s="123">
        <f t="shared" si="61"/>
        <v>1.1171443172664328</v>
      </c>
      <c r="S263" s="88">
        <f t="shared" si="64"/>
        <v>153481.91999999993</v>
      </c>
      <c r="T263" s="124">
        <f t="shared" si="65"/>
        <v>1.0831196410489519</v>
      </c>
      <c r="U263" s="88">
        <f t="shared" si="66"/>
        <v>56239.089999990072</v>
      </c>
      <c r="V263" s="124">
        <f t="shared" si="67"/>
        <v>1.0314135899008623</v>
      </c>
      <c r="W263" s="157">
        <f t="shared" si="62"/>
        <v>11</v>
      </c>
    </row>
    <row r="264" spans="1:23" ht="11.25" customHeight="1" x14ac:dyDescent="0.25">
      <c r="A264" s="42" t="s">
        <v>1165</v>
      </c>
      <c r="B264" s="282">
        <f t="shared" si="63"/>
        <v>11</v>
      </c>
      <c r="C264" s="27" t="s">
        <v>916</v>
      </c>
      <c r="D264" s="28" t="s">
        <v>919</v>
      </c>
      <c r="E264" s="28" t="s">
        <v>917</v>
      </c>
      <c r="F264" s="373" t="s">
        <v>1682</v>
      </c>
      <c r="G264" s="374"/>
      <c r="H264" s="11">
        <v>-96249</v>
      </c>
      <c r="I264" s="11">
        <v>-25562</v>
      </c>
      <c r="J264" s="336">
        <v>-59999.999999999003</v>
      </c>
      <c r="K264" s="130">
        <v>0</v>
      </c>
      <c r="L264" s="142">
        <v>0</v>
      </c>
      <c r="M264" s="108" t="s">
        <v>1713</v>
      </c>
      <c r="N264" s="108"/>
      <c r="O264" s="88">
        <f t="shared" si="58"/>
        <v>-59999.999999999003</v>
      </c>
      <c r="P264" s="123">
        <f t="shared" si="59"/>
        <v>0</v>
      </c>
      <c r="Q264" s="88">
        <f t="shared" si="60"/>
        <v>-25562</v>
      </c>
      <c r="R264" s="123">
        <f t="shared" si="61"/>
        <v>0</v>
      </c>
      <c r="S264" s="88">
        <f t="shared" si="64"/>
        <v>0</v>
      </c>
      <c r="T264" s="124" t="str">
        <f t="shared" si="65"/>
        <v/>
      </c>
      <c r="U264" s="88">
        <f t="shared" si="66"/>
        <v>-25562</v>
      </c>
      <c r="V264" s="124">
        <f t="shared" si="67"/>
        <v>0</v>
      </c>
      <c r="W264" s="157">
        <f t="shared" si="62"/>
        <v>11</v>
      </c>
    </row>
    <row r="265" spans="1:23" ht="11.25" customHeight="1" x14ac:dyDescent="0.25">
      <c r="A265" s="26" t="s">
        <v>1166</v>
      </c>
      <c r="B265" s="282">
        <f t="shared" si="63"/>
        <v>7</v>
      </c>
      <c r="C265" s="26"/>
      <c r="D265" s="23"/>
      <c r="E265" s="23"/>
      <c r="F265" s="379" t="s">
        <v>263</v>
      </c>
      <c r="G265" s="380"/>
      <c r="H265" s="25">
        <f t="shared" ref="H265:L265" si="89">SUM(H266:H270)</f>
        <v>-3712037.9300000099</v>
      </c>
      <c r="I265" s="25">
        <f t="shared" si="89"/>
        <v>-3736828.1300000101</v>
      </c>
      <c r="J265" s="129">
        <f t="shared" si="89"/>
        <v>-3930999.9999984959</v>
      </c>
      <c r="K265" s="342">
        <f t="shared" si="89"/>
        <v>-3986890.1300000101</v>
      </c>
      <c r="L265" s="140">
        <f t="shared" si="89"/>
        <v>-5479759</v>
      </c>
      <c r="O265" s="88">
        <f t="shared" si="58"/>
        <v>1548759.0000015041</v>
      </c>
      <c r="P265" s="123">
        <f t="shared" si="59"/>
        <v>1.393986008649732</v>
      </c>
      <c r="Q265" s="88">
        <f t="shared" si="60"/>
        <v>1742930.8699999899</v>
      </c>
      <c r="R265" s="123">
        <f t="shared" si="61"/>
        <v>1.4664198644854414</v>
      </c>
      <c r="S265" s="88">
        <f t="shared" si="64"/>
        <v>1492868.8699999899</v>
      </c>
      <c r="T265" s="124">
        <f t="shared" si="65"/>
        <v>1.374444447005613</v>
      </c>
      <c r="U265" s="88">
        <f t="shared" si="66"/>
        <v>250062</v>
      </c>
      <c r="V265" s="124">
        <f t="shared" si="67"/>
        <v>1.0669182502648307</v>
      </c>
      <c r="W265" s="157">
        <f t="shared" si="62"/>
        <v>7</v>
      </c>
    </row>
    <row r="266" spans="1:23" ht="11.25" customHeight="1" x14ac:dyDescent="0.25">
      <c r="A266" s="42" t="s">
        <v>1167</v>
      </c>
      <c r="B266" s="282">
        <f t="shared" si="63"/>
        <v>11</v>
      </c>
      <c r="C266" s="20" t="s">
        <v>1654</v>
      </c>
      <c r="D266" s="20" t="s">
        <v>919</v>
      </c>
      <c r="E266" s="20" t="s">
        <v>1656</v>
      </c>
      <c r="F266" s="373" t="s">
        <v>264</v>
      </c>
      <c r="G266" s="374"/>
      <c r="H266" s="11">
        <v>-36300</v>
      </c>
      <c r="I266" s="11">
        <v>-36300</v>
      </c>
      <c r="J266" s="336">
        <v>-36000</v>
      </c>
      <c r="K266" s="130">
        <v>-36300</v>
      </c>
      <c r="L266" s="142">
        <f>-845659+15000*12-707000-12100</f>
        <v>-1384759</v>
      </c>
      <c r="O266" s="88">
        <f t="shared" si="58"/>
        <v>1348759</v>
      </c>
      <c r="P266" s="123">
        <f t="shared" si="59"/>
        <v>38.46552777777778</v>
      </c>
      <c r="Q266" s="88">
        <f t="shared" si="60"/>
        <v>1348459</v>
      </c>
      <c r="R266" s="123">
        <f t="shared" si="61"/>
        <v>38.147630853994492</v>
      </c>
      <c r="S266" s="88">
        <f t="shared" si="64"/>
        <v>1348459</v>
      </c>
      <c r="T266" s="124">
        <f t="shared" si="65"/>
        <v>38.147630853994492</v>
      </c>
      <c r="U266" s="88">
        <f t="shared" si="66"/>
        <v>0</v>
      </c>
      <c r="V266" s="124">
        <f t="shared" si="67"/>
        <v>1</v>
      </c>
      <c r="W266" s="157">
        <f t="shared" si="62"/>
        <v>11</v>
      </c>
    </row>
    <row r="267" spans="1:23" ht="11.25" customHeight="1" x14ac:dyDescent="0.25">
      <c r="A267" s="42" t="s">
        <v>1168</v>
      </c>
      <c r="B267" s="282">
        <f t="shared" si="63"/>
        <v>11</v>
      </c>
      <c r="C267" s="27" t="s">
        <v>916</v>
      </c>
      <c r="D267" s="28" t="s">
        <v>920</v>
      </c>
      <c r="E267" s="28" t="s">
        <v>917</v>
      </c>
      <c r="F267" s="373" t="s">
        <v>265</v>
      </c>
      <c r="G267" s="374"/>
      <c r="H267" s="11">
        <v>-725692</v>
      </c>
      <c r="I267" s="11">
        <v>-724692</v>
      </c>
      <c r="J267" s="336">
        <v>-724999.99999999604</v>
      </c>
      <c r="K267" s="130">
        <v>-724692</v>
      </c>
      <c r="L267" s="142">
        <v>-725000</v>
      </c>
      <c r="O267" s="88">
        <f t="shared" ref="O267:O330" si="90">-L267+J267</f>
        <v>3.9581209421157837E-9</v>
      </c>
      <c r="P267" s="123">
        <f t="shared" ref="P267:P330" si="91">IF(J267=0,"",L267/J267)</f>
        <v>1.0000000000000056</v>
      </c>
      <c r="Q267" s="88">
        <f t="shared" ref="Q267:Q330" si="92">-L267+I267</f>
        <v>308</v>
      </c>
      <c r="R267" s="123">
        <f t="shared" ref="R267:R330" si="93">IF(I267=0,"",L267/I267)</f>
        <v>1.0004250081413897</v>
      </c>
      <c r="S267" s="88">
        <f t="shared" si="64"/>
        <v>308</v>
      </c>
      <c r="T267" s="124">
        <f t="shared" si="65"/>
        <v>1.0004250081413897</v>
      </c>
      <c r="U267" s="88">
        <f t="shared" si="66"/>
        <v>0</v>
      </c>
      <c r="V267" s="124">
        <f t="shared" si="67"/>
        <v>1</v>
      </c>
      <c r="W267" s="157">
        <f t="shared" ref="W267:W333" si="94">LEN(A267)</f>
        <v>11</v>
      </c>
    </row>
    <row r="268" spans="1:23" ht="11.25" customHeight="1" x14ac:dyDescent="0.25">
      <c r="A268" s="42" t="s">
        <v>1169</v>
      </c>
      <c r="B268" s="282">
        <f t="shared" ref="B268:B331" si="95">LEN(A268)</f>
        <v>11</v>
      </c>
      <c r="C268" s="28" t="s">
        <v>916</v>
      </c>
      <c r="D268" s="28" t="s">
        <v>923</v>
      </c>
      <c r="E268" s="28" t="s">
        <v>1246</v>
      </c>
      <c r="F268" s="373" t="s">
        <v>266</v>
      </c>
      <c r="G268" s="374"/>
      <c r="H268" s="11">
        <v>-1198125</v>
      </c>
      <c r="I268" s="11">
        <v>-1265220</v>
      </c>
      <c r="J268" s="336">
        <v>-1369999.9999987299</v>
      </c>
      <c r="K268" s="130">
        <v>-1305025</v>
      </c>
      <c r="L268" s="142">
        <v>-1400000</v>
      </c>
      <c r="O268" s="88">
        <f t="shared" si="90"/>
        <v>30000.000001270091</v>
      </c>
      <c r="P268" s="123">
        <f t="shared" si="91"/>
        <v>1.0218978102199254</v>
      </c>
      <c r="Q268" s="88">
        <f t="shared" si="92"/>
        <v>134780</v>
      </c>
      <c r="R268" s="123">
        <f t="shared" si="93"/>
        <v>1.1065269281231722</v>
      </c>
      <c r="S268" s="88">
        <f t="shared" ref="S268:S331" si="96">-L268+K268</f>
        <v>94975</v>
      </c>
      <c r="T268" s="124">
        <f t="shared" si="65"/>
        <v>1.0727763835941839</v>
      </c>
      <c r="U268" s="88">
        <f t="shared" si="66"/>
        <v>39805</v>
      </c>
      <c r="V268" s="124">
        <f t="shared" si="67"/>
        <v>1.0314609316956735</v>
      </c>
      <c r="W268" s="157">
        <f t="shared" si="94"/>
        <v>11</v>
      </c>
    </row>
    <row r="269" spans="1:23" ht="11.25" customHeight="1" x14ac:dyDescent="0.25">
      <c r="A269" s="42" t="s">
        <v>1170</v>
      </c>
      <c r="B269" s="282">
        <f t="shared" si="95"/>
        <v>11</v>
      </c>
      <c r="C269" s="28" t="s">
        <v>916</v>
      </c>
      <c r="D269" s="28" t="s">
        <v>919</v>
      </c>
      <c r="E269" s="28" t="s">
        <v>1649</v>
      </c>
      <c r="F269" s="373" t="s">
        <v>267</v>
      </c>
      <c r="G269" s="374"/>
      <c r="H269" s="11">
        <v>-1674285.9300000099</v>
      </c>
      <c r="I269" s="11">
        <v>-1710616.1300000099</v>
      </c>
      <c r="J269" s="336">
        <v>-1799999.99999977</v>
      </c>
      <c r="K269" s="130">
        <v>-1813398.1300000099</v>
      </c>
      <c r="L269" s="142">
        <v>-1920000</v>
      </c>
      <c r="O269" s="88">
        <f t="shared" si="90"/>
        <v>120000.00000023004</v>
      </c>
      <c r="P269" s="123">
        <f t="shared" si="91"/>
        <v>1.066666666666803</v>
      </c>
      <c r="Q269" s="88">
        <f t="shared" si="92"/>
        <v>209383.8699999901</v>
      </c>
      <c r="R269" s="123">
        <f t="shared" si="93"/>
        <v>1.1224026047269815</v>
      </c>
      <c r="S269" s="88">
        <f t="shared" si="96"/>
        <v>106601.8699999901</v>
      </c>
      <c r="T269" s="124">
        <f t="shared" ref="T269:T332" si="97">IF(K269=0,"",L269/K269)</f>
        <v>1.0587856953398256</v>
      </c>
      <c r="U269" s="88">
        <f t="shared" ref="U269:U332" si="98">-K269+I269</f>
        <v>102782</v>
      </c>
      <c r="V269" s="124">
        <f t="shared" ref="V269:V332" si="99">IF(I269=0,"",K269/I269)</f>
        <v>1.0600847836036711</v>
      </c>
      <c r="W269" s="157">
        <f t="shared" si="94"/>
        <v>11</v>
      </c>
    </row>
    <row r="270" spans="1:23" ht="11.25" customHeight="1" x14ac:dyDescent="0.25">
      <c r="A270" s="42" t="s">
        <v>1171</v>
      </c>
      <c r="B270" s="282">
        <f t="shared" si="95"/>
        <v>11</v>
      </c>
      <c r="C270" s="27" t="s">
        <v>916</v>
      </c>
      <c r="D270" s="28" t="s">
        <v>920</v>
      </c>
      <c r="E270" s="28" t="s">
        <v>917</v>
      </c>
      <c r="F270" s="373" t="s">
        <v>268</v>
      </c>
      <c r="G270" s="374"/>
      <c r="H270" s="11">
        <v>-77635</v>
      </c>
      <c r="I270" s="11">
        <v>0</v>
      </c>
      <c r="J270" s="336">
        <v>0</v>
      </c>
      <c r="K270" s="130">
        <v>-107475</v>
      </c>
      <c r="L270" s="142">
        <v>-50000</v>
      </c>
      <c r="O270" s="88">
        <f t="shared" si="90"/>
        <v>50000</v>
      </c>
      <c r="P270" s="123" t="str">
        <f t="shared" si="91"/>
        <v/>
      </c>
      <c r="Q270" s="88">
        <f t="shared" si="92"/>
        <v>50000</v>
      </c>
      <c r="R270" s="123" t="str">
        <f t="shared" si="93"/>
        <v/>
      </c>
      <c r="S270" s="88">
        <f t="shared" si="96"/>
        <v>-57475</v>
      </c>
      <c r="T270" s="124">
        <f t="shared" si="97"/>
        <v>0.46522447080716445</v>
      </c>
      <c r="U270" s="88">
        <f t="shared" si="98"/>
        <v>107475</v>
      </c>
      <c r="V270" s="124" t="str">
        <f t="shared" si="99"/>
        <v/>
      </c>
      <c r="W270" s="157">
        <f t="shared" si="94"/>
        <v>11</v>
      </c>
    </row>
    <row r="271" spans="1:23" ht="11.25" customHeight="1" x14ac:dyDescent="0.25">
      <c r="A271" s="26" t="s">
        <v>1172</v>
      </c>
      <c r="B271" s="282">
        <f t="shared" si="95"/>
        <v>7</v>
      </c>
      <c r="C271" s="26"/>
      <c r="D271" s="23"/>
      <c r="E271" s="23"/>
      <c r="F271" s="379" t="s">
        <v>269</v>
      </c>
      <c r="G271" s="380"/>
      <c r="H271" s="25">
        <f t="shared" ref="H271:L271" si="100">SUM(H272)</f>
        <v>-932233</v>
      </c>
      <c r="I271" s="25">
        <f t="shared" si="100"/>
        <v>-731444.5</v>
      </c>
      <c r="J271" s="129">
        <f t="shared" si="100"/>
        <v>-500000</v>
      </c>
      <c r="K271" s="342">
        <f t="shared" si="100"/>
        <v>-2177884.6</v>
      </c>
      <c r="L271" s="140">
        <f t="shared" si="100"/>
        <v>-500000</v>
      </c>
      <c r="O271" s="88">
        <f t="shared" si="90"/>
        <v>0</v>
      </c>
      <c r="P271" s="123">
        <f t="shared" si="91"/>
        <v>1</v>
      </c>
      <c r="Q271" s="88">
        <f t="shared" si="92"/>
        <v>-231444.5</v>
      </c>
      <c r="R271" s="123">
        <f t="shared" si="93"/>
        <v>0.68357886346811003</v>
      </c>
      <c r="S271" s="88">
        <f t="shared" si="96"/>
        <v>-1677884.6</v>
      </c>
      <c r="T271" s="124">
        <f t="shared" si="97"/>
        <v>0.22958057557319611</v>
      </c>
      <c r="U271" s="88">
        <f t="shared" si="98"/>
        <v>1446440.1</v>
      </c>
      <c r="V271" s="124">
        <f t="shared" si="99"/>
        <v>2.9775117592653988</v>
      </c>
      <c r="W271" s="157">
        <f t="shared" si="94"/>
        <v>7</v>
      </c>
    </row>
    <row r="272" spans="1:23" ht="11.25" customHeight="1" x14ac:dyDescent="0.25">
      <c r="A272" s="42" t="s">
        <v>1173</v>
      </c>
      <c r="B272" s="282">
        <f t="shared" si="95"/>
        <v>11</v>
      </c>
      <c r="C272" s="20" t="s">
        <v>916</v>
      </c>
      <c r="D272" s="20" t="s">
        <v>923</v>
      </c>
      <c r="E272" s="20" t="s">
        <v>1247</v>
      </c>
      <c r="F272" s="373" t="s">
        <v>270</v>
      </c>
      <c r="G272" s="374"/>
      <c r="H272" s="11">
        <v>-932233</v>
      </c>
      <c r="I272" s="11">
        <v>-731444.5</v>
      </c>
      <c r="J272" s="336">
        <v>-500000</v>
      </c>
      <c r="K272" s="130">
        <v>-2177884.6</v>
      </c>
      <c r="L272" s="142">
        <v>-500000</v>
      </c>
      <c r="O272" s="88">
        <f t="shared" si="90"/>
        <v>0</v>
      </c>
      <c r="P272" s="123">
        <f t="shared" si="91"/>
        <v>1</v>
      </c>
      <c r="Q272" s="88">
        <f t="shared" si="92"/>
        <v>-231444.5</v>
      </c>
      <c r="R272" s="123">
        <f t="shared" si="93"/>
        <v>0.68357886346811003</v>
      </c>
      <c r="S272" s="88">
        <f t="shared" si="96"/>
        <v>-1677884.6</v>
      </c>
      <c r="T272" s="124">
        <f t="shared" si="97"/>
        <v>0.22958057557319611</v>
      </c>
      <c r="U272" s="88">
        <f t="shared" si="98"/>
        <v>1446440.1</v>
      </c>
      <c r="V272" s="124">
        <f t="shared" si="99"/>
        <v>2.9775117592653988</v>
      </c>
      <c r="W272" s="157">
        <f t="shared" si="94"/>
        <v>11</v>
      </c>
    </row>
    <row r="273" spans="1:23" ht="11.25" customHeight="1" x14ac:dyDescent="0.25">
      <c r="A273" s="26" t="s">
        <v>1174</v>
      </c>
      <c r="B273" s="282">
        <f t="shared" si="95"/>
        <v>7</v>
      </c>
      <c r="C273" s="26"/>
      <c r="D273" s="23"/>
      <c r="E273" s="23"/>
      <c r="F273" s="379" t="s">
        <v>271</v>
      </c>
      <c r="G273" s="380"/>
      <c r="H273" s="25">
        <f t="shared" ref="H273:L273" si="101">SUM(H274:H281)</f>
        <v>-52028389.000000209</v>
      </c>
      <c r="I273" s="25">
        <f t="shared" si="101"/>
        <v>-56183852.050000109</v>
      </c>
      <c r="J273" s="129">
        <f t="shared" si="101"/>
        <v>-60624639.099692844</v>
      </c>
      <c r="K273" s="342">
        <f t="shared" si="101"/>
        <v>-83391447.679999992</v>
      </c>
      <c r="L273" s="140">
        <f t="shared" si="101"/>
        <v>-106435000</v>
      </c>
      <c r="O273" s="88">
        <f t="shared" si="90"/>
        <v>45810360.900307156</v>
      </c>
      <c r="P273" s="123">
        <f t="shared" si="91"/>
        <v>1.7556393172910327</v>
      </c>
      <c r="Q273" s="88">
        <f t="shared" si="92"/>
        <v>50251147.949999891</v>
      </c>
      <c r="R273" s="123">
        <f t="shared" si="93"/>
        <v>1.8944055296400737</v>
      </c>
      <c r="S273" s="88">
        <f t="shared" si="96"/>
        <v>23043552.320000008</v>
      </c>
      <c r="T273" s="124">
        <f t="shared" si="97"/>
        <v>1.2763299230446938</v>
      </c>
      <c r="U273" s="88">
        <f t="shared" si="98"/>
        <v>27207595.629999883</v>
      </c>
      <c r="V273" s="124">
        <f t="shared" si="99"/>
        <v>1.4842600611611114</v>
      </c>
      <c r="W273" s="157">
        <f t="shared" si="94"/>
        <v>7</v>
      </c>
    </row>
    <row r="274" spans="1:23" ht="11.25" customHeight="1" x14ac:dyDescent="0.25">
      <c r="A274" s="42" t="s">
        <v>1175</v>
      </c>
      <c r="B274" s="282">
        <f t="shared" si="95"/>
        <v>11</v>
      </c>
      <c r="C274" s="28" t="s">
        <v>916</v>
      </c>
      <c r="D274" s="28" t="s">
        <v>923</v>
      </c>
      <c r="E274" s="28" t="s">
        <v>1248</v>
      </c>
      <c r="F274" s="373" t="s">
        <v>272</v>
      </c>
      <c r="G274" s="374"/>
      <c r="H274" s="11">
        <v>-40931802.000000201</v>
      </c>
      <c r="I274" s="11">
        <v>-44541352.250000097</v>
      </c>
      <c r="J274" s="336">
        <v>-49000339.038001701</v>
      </c>
      <c r="K274" s="130">
        <v>-47797522.270000003</v>
      </c>
      <c r="L274" s="142">
        <v>-55700000</v>
      </c>
      <c r="M274" s="105" t="s">
        <v>1746</v>
      </c>
      <c r="N274" s="105"/>
      <c r="O274" s="88">
        <f t="shared" si="90"/>
        <v>6699660.9619982988</v>
      </c>
      <c r="P274" s="123">
        <f t="shared" si="91"/>
        <v>1.1367268287021943</v>
      </c>
      <c r="Q274" s="88">
        <f t="shared" si="92"/>
        <v>11158647.749999903</v>
      </c>
      <c r="R274" s="123">
        <f t="shared" si="93"/>
        <v>1.2505233268933786</v>
      </c>
      <c r="S274" s="88">
        <f t="shared" si="96"/>
        <v>7902477.7299999967</v>
      </c>
      <c r="T274" s="124">
        <f t="shared" si="97"/>
        <v>1.1653323719451452</v>
      </c>
      <c r="U274" s="88">
        <f t="shared" si="98"/>
        <v>3256170.0199999064</v>
      </c>
      <c r="V274" s="124">
        <f t="shared" si="99"/>
        <v>1.0731044266847534</v>
      </c>
      <c r="W274" s="157">
        <f t="shared" si="94"/>
        <v>11</v>
      </c>
    </row>
    <row r="275" spans="1:23" ht="11.25" customHeight="1" x14ac:dyDescent="0.25">
      <c r="A275" s="42" t="s">
        <v>1176</v>
      </c>
      <c r="B275" s="282">
        <f t="shared" si="95"/>
        <v>11</v>
      </c>
      <c r="C275" s="28" t="s">
        <v>916</v>
      </c>
      <c r="D275" s="28" t="s">
        <v>923</v>
      </c>
      <c r="E275" s="28" t="s">
        <v>1248</v>
      </c>
      <c r="F275" s="373" t="s">
        <v>273</v>
      </c>
      <c r="G275" s="374"/>
      <c r="H275" s="11">
        <v>-1306156</v>
      </c>
      <c r="I275" s="11">
        <v>-2720491</v>
      </c>
      <c r="J275" s="336">
        <v>-1500000</v>
      </c>
      <c r="K275" s="130">
        <v>-3594299.36</v>
      </c>
      <c r="L275" s="142">
        <v>-2200000</v>
      </c>
      <c r="M275" s="105" t="s">
        <v>1747</v>
      </c>
      <c r="N275" s="105"/>
      <c r="O275" s="88">
        <f t="shared" si="90"/>
        <v>700000</v>
      </c>
      <c r="P275" s="123">
        <f t="shared" si="91"/>
        <v>1.4666666666666666</v>
      </c>
      <c r="Q275" s="88">
        <f t="shared" si="92"/>
        <v>-520491</v>
      </c>
      <c r="R275" s="123">
        <f t="shared" si="93"/>
        <v>0.80867755122145235</v>
      </c>
      <c r="S275" s="88">
        <f t="shared" si="96"/>
        <v>-1394299.3599999999</v>
      </c>
      <c r="T275" s="124">
        <f t="shared" si="97"/>
        <v>0.61208034714170279</v>
      </c>
      <c r="U275" s="88">
        <f t="shared" si="98"/>
        <v>873808.35999999987</v>
      </c>
      <c r="V275" s="124">
        <f t="shared" si="99"/>
        <v>1.3211950930916514</v>
      </c>
      <c r="W275" s="157">
        <f t="shared" si="94"/>
        <v>11</v>
      </c>
    </row>
    <row r="276" spans="1:23" ht="11.25" customHeight="1" x14ac:dyDescent="0.25">
      <c r="A276" s="42" t="s">
        <v>1177</v>
      </c>
      <c r="B276" s="282">
        <f t="shared" si="95"/>
        <v>11</v>
      </c>
      <c r="C276" s="20" t="s">
        <v>916</v>
      </c>
      <c r="D276" s="20" t="s">
        <v>919</v>
      </c>
      <c r="E276" s="20" t="s">
        <v>1649</v>
      </c>
      <c r="F276" s="373" t="s">
        <v>274</v>
      </c>
      <c r="G276" s="374"/>
      <c r="H276" s="11">
        <v>-357833.4</v>
      </c>
      <c r="I276" s="11">
        <v>-398469.6</v>
      </c>
      <c r="J276" s="336">
        <v>-399762.74951735197</v>
      </c>
      <c r="K276" s="130">
        <v>-465506.8</v>
      </c>
      <c r="L276" s="142">
        <v>-460000</v>
      </c>
      <c r="O276" s="88">
        <f t="shared" si="90"/>
        <v>60237.250482648029</v>
      </c>
      <c r="P276" s="123">
        <f t="shared" si="91"/>
        <v>1.1506824999462173</v>
      </c>
      <c r="Q276" s="88">
        <f t="shared" si="92"/>
        <v>61530.400000000023</v>
      </c>
      <c r="R276" s="123">
        <f t="shared" si="93"/>
        <v>1.154416798671718</v>
      </c>
      <c r="S276" s="88">
        <f t="shared" si="96"/>
        <v>-5506.7999999999884</v>
      </c>
      <c r="T276" s="124">
        <f t="shared" si="97"/>
        <v>0.98817031244226727</v>
      </c>
      <c r="U276" s="88">
        <f t="shared" si="98"/>
        <v>67037.200000000012</v>
      </c>
      <c r="V276" s="124">
        <f t="shared" si="99"/>
        <v>1.1682366735128602</v>
      </c>
      <c r="W276" s="157">
        <f t="shared" si="94"/>
        <v>11</v>
      </c>
    </row>
    <row r="277" spans="1:23" ht="11.25" customHeight="1" x14ac:dyDescent="0.25">
      <c r="A277" s="42" t="s">
        <v>1178</v>
      </c>
      <c r="B277" s="282">
        <f t="shared" si="95"/>
        <v>11</v>
      </c>
      <c r="C277" s="20" t="s">
        <v>916</v>
      </c>
      <c r="D277" s="20" t="s">
        <v>919</v>
      </c>
      <c r="E277" s="20" t="s">
        <v>1649</v>
      </c>
      <c r="F277" s="373" t="s">
        <v>275</v>
      </c>
      <c r="G277" s="374"/>
      <c r="H277" s="11">
        <v>-8676197.0000000093</v>
      </c>
      <c r="I277" s="11">
        <v>-8191317.0000000102</v>
      </c>
      <c r="J277" s="336">
        <v>-8499537.3121738005</v>
      </c>
      <c r="K277" s="130">
        <v>-8446338.1999999993</v>
      </c>
      <c r="L277" s="142">
        <f>-9000000+500000</f>
        <v>-8500000</v>
      </c>
      <c r="M277" s="105" t="s">
        <v>1703</v>
      </c>
      <c r="N277" s="105"/>
      <c r="O277" s="88">
        <f t="shared" si="90"/>
        <v>462.68782619945705</v>
      </c>
      <c r="P277" s="123">
        <f t="shared" si="91"/>
        <v>1.0000544368251125</v>
      </c>
      <c r="Q277" s="88">
        <f t="shared" si="92"/>
        <v>308682.99999998976</v>
      </c>
      <c r="R277" s="123">
        <f t="shared" si="93"/>
        <v>1.0376841721544887</v>
      </c>
      <c r="S277" s="88">
        <f t="shared" si="96"/>
        <v>53661.800000000745</v>
      </c>
      <c r="T277" s="124">
        <f t="shared" si="97"/>
        <v>1.0063532620562128</v>
      </c>
      <c r="U277" s="88">
        <f t="shared" si="98"/>
        <v>255021.19999998901</v>
      </c>
      <c r="V277" s="124">
        <f t="shared" si="99"/>
        <v>1.0311331132710391</v>
      </c>
      <c r="W277" s="157">
        <f t="shared" si="94"/>
        <v>11</v>
      </c>
    </row>
    <row r="278" spans="1:23" ht="11.25" customHeight="1" x14ac:dyDescent="0.25">
      <c r="A278" s="42" t="s">
        <v>1179</v>
      </c>
      <c r="B278" s="282">
        <f t="shared" si="95"/>
        <v>11</v>
      </c>
      <c r="C278" s="20" t="s">
        <v>916</v>
      </c>
      <c r="D278" s="20" t="s">
        <v>919</v>
      </c>
      <c r="E278" s="20" t="s">
        <v>1649</v>
      </c>
      <c r="F278" s="373" t="s">
        <v>276</v>
      </c>
      <c r="G278" s="374"/>
      <c r="H278" s="11">
        <v>-67561.2</v>
      </c>
      <c r="I278" s="11">
        <v>-79893.2</v>
      </c>
      <c r="J278" s="336">
        <v>-74999.999999991996</v>
      </c>
      <c r="K278" s="130">
        <v>-69225.039999999994</v>
      </c>
      <c r="L278" s="142">
        <v>-75000</v>
      </c>
      <c r="O278" s="88">
        <f t="shared" si="90"/>
        <v>8.0035533756017685E-9</v>
      </c>
      <c r="P278" s="123">
        <f t="shared" si="91"/>
        <v>1.0000000000001068</v>
      </c>
      <c r="Q278" s="88">
        <f t="shared" si="92"/>
        <v>-4893.1999999999971</v>
      </c>
      <c r="R278" s="123">
        <f t="shared" si="93"/>
        <v>0.93875323556948531</v>
      </c>
      <c r="S278" s="88">
        <f t="shared" si="96"/>
        <v>5774.9600000000064</v>
      </c>
      <c r="T278" s="124">
        <f t="shared" si="97"/>
        <v>1.0834229926049881</v>
      </c>
      <c r="U278" s="88">
        <f t="shared" si="98"/>
        <v>-10668.160000000003</v>
      </c>
      <c r="V278" s="124">
        <f t="shared" si="99"/>
        <v>0.86646973709902719</v>
      </c>
      <c r="W278" s="157">
        <f t="shared" si="94"/>
        <v>11</v>
      </c>
    </row>
    <row r="279" spans="1:23" ht="11.25" customHeight="1" x14ac:dyDescent="0.25">
      <c r="A279" s="42" t="s">
        <v>1180</v>
      </c>
      <c r="B279" s="282">
        <f t="shared" si="95"/>
        <v>11</v>
      </c>
      <c r="C279" s="20" t="s">
        <v>916</v>
      </c>
      <c r="D279" s="20" t="s">
        <v>919</v>
      </c>
      <c r="E279" s="20" t="s">
        <v>1649</v>
      </c>
      <c r="F279" s="373" t="s">
        <v>277</v>
      </c>
      <c r="G279" s="374"/>
      <c r="H279" s="11">
        <v>-274789.40000000002</v>
      </c>
      <c r="I279" s="11">
        <v>-214710</v>
      </c>
      <c r="J279" s="336">
        <v>-1100000</v>
      </c>
      <c r="K279" s="130">
        <v>-1014736.75</v>
      </c>
      <c r="L279" s="142">
        <f>-1500000+500000</f>
        <v>-1000000</v>
      </c>
      <c r="M279" s="105" t="s">
        <v>1702</v>
      </c>
      <c r="N279" s="105"/>
      <c r="O279" s="88">
        <f t="shared" si="90"/>
        <v>-100000</v>
      </c>
      <c r="P279" s="123">
        <f t="shared" si="91"/>
        <v>0.90909090909090906</v>
      </c>
      <c r="Q279" s="88">
        <f t="shared" si="92"/>
        <v>785290</v>
      </c>
      <c r="R279" s="123">
        <f t="shared" si="93"/>
        <v>4.6574449257137536</v>
      </c>
      <c r="S279" s="88">
        <f t="shared" si="96"/>
        <v>-14736.75</v>
      </c>
      <c r="T279" s="124">
        <f t="shared" si="97"/>
        <v>0.98547726787267731</v>
      </c>
      <c r="U279" s="88">
        <f t="shared" si="98"/>
        <v>800026.75</v>
      </c>
      <c r="V279" s="124">
        <f t="shared" si="99"/>
        <v>4.7260805272227655</v>
      </c>
      <c r="W279" s="157">
        <f t="shared" si="94"/>
        <v>11</v>
      </c>
    </row>
    <row r="280" spans="1:23" ht="11.25" customHeight="1" x14ac:dyDescent="0.25">
      <c r="A280" s="42" t="s">
        <v>1181</v>
      </c>
      <c r="B280" s="282">
        <f t="shared" si="95"/>
        <v>11</v>
      </c>
      <c r="C280" s="15" t="s">
        <v>916</v>
      </c>
      <c r="D280" s="16" t="s">
        <v>919</v>
      </c>
      <c r="E280" s="16" t="s">
        <v>1036</v>
      </c>
      <c r="F280" s="373" t="s">
        <v>278</v>
      </c>
      <c r="G280" s="374"/>
      <c r="H280" s="11">
        <v>0</v>
      </c>
      <c r="I280" s="11">
        <v>0</v>
      </c>
      <c r="J280" s="336"/>
      <c r="K280" s="130">
        <v>-22003819.260000002</v>
      </c>
      <c r="L280" s="142">
        <v>-38500000</v>
      </c>
      <c r="M280" s="105" t="s">
        <v>1735</v>
      </c>
      <c r="N280" s="105"/>
      <c r="O280" s="88">
        <f t="shared" si="90"/>
        <v>38500000</v>
      </c>
      <c r="P280" s="123" t="str">
        <f t="shared" si="91"/>
        <v/>
      </c>
      <c r="Q280" s="88">
        <f t="shared" si="92"/>
        <v>38500000</v>
      </c>
      <c r="R280" s="123" t="str">
        <f t="shared" si="93"/>
        <v/>
      </c>
      <c r="S280" s="88">
        <f t="shared" si="96"/>
        <v>16496180.739999998</v>
      </c>
      <c r="T280" s="124">
        <f t="shared" si="97"/>
        <v>1.7496962479594553</v>
      </c>
      <c r="U280" s="88">
        <f t="shared" si="98"/>
        <v>22003819.260000002</v>
      </c>
      <c r="V280" s="124" t="str">
        <f t="shared" si="99"/>
        <v/>
      </c>
      <c r="W280" s="157">
        <f t="shared" si="94"/>
        <v>11</v>
      </c>
    </row>
    <row r="281" spans="1:23" ht="11.25" customHeight="1" x14ac:dyDescent="0.25">
      <c r="A281" s="42" t="s">
        <v>1182</v>
      </c>
      <c r="B281" s="282">
        <f t="shared" si="95"/>
        <v>11</v>
      </c>
      <c r="C281" s="28" t="s">
        <v>916</v>
      </c>
      <c r="D281" s="28" t="s">
        <v>923</v>
      </c>
      <c r="E281" s="28" t="s">
        <v>1248</v>
      </c>
      <c r="F281" s="373" t="s">
        <v>1687</v>
      </c>
      <c r="G281" s="374"/>
      <c r="H281" s="11">
        <v>-414050</v>
      </c>
      <c r="I281" s="11">
        <v>-37619</v>
      </c>
      <c r="J281" s="336">
        <v>-50000</v>
      </c>
      <c r="K281" s="130">
        <v>0</v>
      </c>
      <c r="L281" s="142">
        <v>0</v>
      </c>
      <c r="O281" s="88">
        <f t="shared" si="90"/>
        <v>-50000</v>
      </c>
      <c r="P281" s="123">
        <f t="shared" si="91"/>
        <v>0</v>
      </c>
      <c r="Q281" s="88">
        <f t="shared" si="92"/>
        <v>-37619</v>
      </c>
      <c r="R281" s="123">
        <f t="shared" si="93"/>
        <v>0</v>
      </c>
      <c r="S281" s="88">
        <f t="shared" si="96"/>
        <v>0</v>
      </c>
      <c r="T281" s="124" t="str">
        <f t="shared" si="97"/>
        <v/>
      </c>
      <c r="U281" s="88">
        <f t="shared" si="98"/>
        <v>-37619</v>
      </c>
      <c r="V281" s="124">
        <f t="shared" si="99"/>
        <v>0</v>
      </c>
      <c r="W281" s="157">
        <f t="shared" si="94"/>
        <v>11</v>
      </c>
    </row>
    <row r="282" spans="1:23" ht="11.25" customHeight="1" x14ac:dyDescent="0.25">
      <c r="A282" s="26" t="s">
        <v>1183</v>
      </c>
      <c r="B282" s="282">
        <f t="shared" si="95"/>
        <v>7</v>
      </c>
      <c r="C282" s="26"/>
      <c r="D282" s="23"/>
      <c r="E282" s="23"/>
      <c r="F282" s="379" t="s">
        <v>279</v>
      </c>
      <c r="G282" s="380"/>
      <c r="H282" s="25">
        <f t="shared" ref="H282:L282" si="102">SUM(H283:H285)</f>
        <v>-1945289.45</v>
      </c>
      <c r="I282" s="25">
        <f t="shared" si="102"/>
        <v>-2134764.4300000002</v>
      </c>
      <c r="J282" s="129">
        <f t="shared" si="102"/>
        <v>-1880431.7495488459</v>
      </c>
      <c r="K282" s="342">
        <f t="shared" si="102"/>
        <v>-2523132.88</v>
      </c>
      <c r="L282" s="140">
        <f t="shared" si="102"/>
        <v>-2050000</v>
      </c>
      <c r="O282" s="88">
        <f t="shared" si="90"/>
        <v>169568.25045115408</v>
      </c>
      <c r="P282" s="123">
        <f t="shared" si="91"/>
        <v>1.0901751688099486</v>
      </c>
      <c r="Q282" s="88">
        <f t="shared" si="92"/>
        <v>-84764.430000000168</v>
      </c>
      <c r="R282" s="123">
        <f t="shared" si="93"/>
        <v>0.96029330974003524</v>
      </c>
      <c r="S282" s="88">
        <f t="shared" si="96"/>
        <v>-473132.87999999989</v>
      </c>
      <c r="T282" s="124">
        <f t="shared" si="97"/>
        <v>0.812481980734998</v>
      </c>
      <c r="U282" s="88">
        <f t="shared" si="98"/>
        <v>388368.44999999972</v>
      </c>
      <c r="V282" s="124">
        <f t="shared" si="99"/>
        <v>1.1819256703654182</v>
      </c>
      <c r="W282" s="157">
        <f t="shared" si="94"/>
        <v>7</v>
      </c>
    </row>
    <row r="283" spans="1:23" ht="11.25" customHeight="1" x14ac:dyDescent="0.25">
      <c r="A283" s="42" t="s">
        <v>1184</v>
      </c>
      <c r="B283" s="282">
        <f t="shared" si="95"/>
        <v>11</v>
      </c>
      <c r="C283" s="27" t="s">
        <v>922</v>
      </c>
      <c r="D283" s="28" t="s">
        <v>920</v>
      </c>
      <c r="E283" s="34" t="s">
        <v>1249</v>
      </c>
      <c r="F283" s="373" t="s">
        <v>280</v>
      </c>
      <c r="G283" s="374"/>
      <c r="H283" s="11">
        <v>-53458.44</v>
      </c>
      <c r="I283" s="11">
        <v>-47522.25</v>
      </c>
      <c r="J283" s="336">
        <v>-80431.749548852007</v>
      </c>
      <c r="K283" s="130">
        <v>-107456.17</v>
      </c>
      <c r="L283" s="142">
        <v>-80000</v>
      </c>
      <c r="O283" s="88">
        <f t="shared" si="90"/>
        <v>-431.74954885200714</v>
      </c>
      <c r="P283" s="123">
        <f t="shared" si="91"/>
        <v>0.99463210049173711</v>
      </c>
      <c r="Q283" s="88">
        <f t="shared" si="92"/>
        <v>32477.75</v>
      </c>
      <c r="R283" s="123">
        <f t="shared" si="93"/>
        <v>1.6834219760217581</v>
      </c>
      <c r="S283" s="88">
        <f t="shared" si="96"/>
        <v>-27456.17</v>
      </c>
      <c r="T283" s="124">
        <f t="shared" si="97"/>
        <v>0.74448959050001506</v>
      </c>
      <c r="U283" s="88">
        <f t="shared" si="98"/>
        <v>59933.919999999998</v>
      </c>
      <c r="V283" s="124">
        <f t="shared" si="99"/>
        <v>2.2611759754641247</v>
      </c>
      <c r="W283" s="157">
        <f t="shared" si="94"/>
        <v>11</v>
      </c>
    </row>
    <row r="284" spans="1:23" ht="11.25" customHeight="1" x14ac:dyDescent="0.25">
      <c r="A284" s="42" t="s">
        <v>1185</v>
      </c>
      <c r="B284" s="282">
        <f t="shared" si="95"/>
        <v>11</v>
      </c>
      <c r="C284" s="27" t="s">
        <v>922</v>
      </c>
      <c r="D284" s="28" t="s">
        <v>920</v>
      </c>
      <c r="E284" s="28" t="s">
        <v>1249</v>
      </c>
      <c r="F284" s="373" t="s">
        <v>281</v>
      </c>
      <c r="G284" s="374"/>
      <c r="H284" s="11">
        <v>-1595647</v>
      </c>
      <c r="I284" s="11">
        <v>-1772250</v>
      </c>
      <c r="J284" s="336">
        <v>-1500000</v>
      </c>
      <c r="K284" s="130">
        <v>-2088528</v>
      </c>
      <c r="L284" s="142">
        <f>-1800000+150000</f>
        <v>-1650000</v>
      </c>
      <c r="O284" s="88">
        <f t="shared" si="90"/>
        <v>150000</v>
      </c>
      <c r="P284" s="123">
        <f t="shared" si="91"/>
        <v>1.1000000000000001</v>
      </c>
      <c r="Q284" s="88">
        <f t="shared" si="92"/>
        <v>-122250</v>
      </c>
      <c r="R284" s="123">
        <f t="shared" si="93"/>
        <v>0.93101988997037666</v>
      </c>
      <c r="S284" s="88">
        <f t="shared" si="96"/>
        <v>-438528</v>
      </c>
      <c r="T284" s="124">
        <f t="shared" si="97"/>
        <v>0.79003010732918111</v>
      </c>
      <c r="U284" s="88">
        <f t="shared" si="98"/>
        <v>316278</v>
      </c>
      <c r="V284" s="124">
        <f t="shared" si="99"/>
        <v>1.1784612780363943</v>
      </c>
      <c r="W284" s="157">
        <f t="shared" si="94"/>
        <v>11</v>
      </c>
    </row>
    <row r="285" spans="1:23" ht="11.25" customHeight="1" x14ac:dyDescent="0.25">
      <c r="A285" s="42" t="s">
        <v>1186</v>
      </c>
      <c r="B285" s="282">
        <f t="shared" si="95"/>
        <v>11</v>
      </c>
      <c r="C285" s="27" t="s">
        <v>916</v>
      </c>
      <c r="D285" s="28" t="s">
        <v>919</v>
      </c>
      <c r="E285" s="28" t="s">
        <v>917</v>
      </c>
      <c r="F285" s="373" t="s">
        <v>282</v>
      </c>
      <c r="G285" s="374"/>
      <c r="H285" s="11">
        <v>-296184.01</v>
      </c>
      <c r="I285" s="11">
        <v>-314992.18</v>
      </c>
      <c r="J285" s="336">
        <v>-299999.999999994</v>
      </c>
      <c r="K285" s="130">
        <v>-327148.71000000002</v>
      </c>
      <c r="L285" s="142">
        <v>-320000</v>
      </c>
      <c r="O285" s="88">
        <f t="shared" si="90"/>
        <v>20000.000000005995</v>
      </c>
      <c r="P285" s="123">
        <f t="shared" si="91"/>
        <v>1.066666666666688</v>
      </c>
      <c r="Q285" s="88">
        <f t="shared" si="92"/>
        <v>5007.820000000007</v>
      </c>
      <c r="R285" s="123">
        <f t="shared" si="93"/>
        <v>1.0158982359498576</v>
      </c>
      <c r="S285" s="88">
        <f t="shared" si="96"/>
        <v>-7148.710000000021</v>
      </c>
      <c r="T285" s="124">
        <f t="shared" si="97"/>
        <v>0.97814843897749126</v>
      </c>
      <c r="U285" s="88">
        <f t="shared" si="98"/>
        <v>12156.530000000028</v>
      </c>
      <c r="V285" s="124">
        <f t="shared" si="99"/>
        <v>1.0385931168195985</v>
      </c>
      <c r="W285" s="157">
        <f t="shared" si="94"/>
        <v>11</v>
      </c>
    </row>
    <row r="286" spans="1:23" ht="11.25" customHeight="1" x14ac:dyDescent="0.25">
      <c r="A286" s="26" t="s">
        <v>1187</v>
      </c>
      <c r="B286" s="282">
        <f t="shared" si="95"/>
        <v>7</v>
      </c>
      <c r="C286" s="26"/>
      <c r="D286" s="23"/>
      <c r="E286" s="23"/>
      <c r="F286" s="379" t="s">
        <v>283</v>
      </c>
      <c r="G286" s="380"/>
      <c r="H286" s="25">
        <f t="shared" ref="H286:L286" si="103">SUM(H287:H298)</f>
        <v>-56736405.790000007</v>
      </c>
      <c r="I286" s="25">
        <f t="shared" si="103"/>
        <v>-60648869.470000006</v>
      </c>
      <c r="J286" s="129">
        <f t="shared" si="103"/>
        <v>-62579832.941814192</v>
      </c>
      <c r="K286" s="342">
        <f t="shared" si="103"/>
        <v>-70155464.320000008</v>
      </c>
      <c r="L286" s="140">
        <f t="shared" si="103"/>
        <v>-69438498.909999996</v>
      </c>
      <c r="O286" s="88">
        <f t="shared" si="90"/>
        <v>6858665.9681858048</v>
      </c>
      <c r="P286" s="123">
        <f t="shared" si="91"/>
        <v>1.1095986621530756</v>
      </c>
      <c r="Q286" s="88">
        <f t="shared" si="92"/>
        <v>8789629.4399999902</v>
      </c>
      <c r="R286" s="123">
        <f t="shared" si="93"/>
        <v>1.1449265174571437</v>
      </c>
      <c r="S286" s="88">
        <f t="shared" si="96"/>
        <v>-716965.41000001132</v>
      </c>
      <c r="T286" s="124">
        <f t="shared" si="97"/>
        <v>0.98978033404882448</v>
      </c>
      <c r="U286" s="88">
        <f t="shared" si="98"/>
        <v>9506594.8500000015</v>
      </c>
      <c r="V286" s="124">
        <f t="shared" si="99"/>
        <v>1.1567480965939925</v>
      </c>
      <c r="W286" s="157">
        <f t="shared" si="94"/>
        <v>7</v>
      </c>
    </row>
    <row r="287" spans="1:23" ht="11.25" customHeight="1" x14ac:dyDescent="0.25">
      <c r="A287" s="42" t="s">
        <v>1188</v>
      </c>
      <c r="B287" s="282">
        <f t="shared" si="95"/>
        <v>11</v>
      </c>
      <c r="C287" s="20" t="s">
        <v>916</v>
      </c>
      <c r="D287" s="20" t="s">
        <v>919</v>
      </c>
      <c r="E287" s="20" t="s">
        <v>1089</v>
      </c>
      <c r="F287" s="373" t="s">
        <v>284</v>
      </c>
      <c r="G287" s="374"/>
      <c r="H287" s="11">
        <v>-851633.2</v>
      </c>
      <c r="I287" s="11">
        <v>-1306703.8</v>
      </c>
      <c r="J287" s="336">
        <v>-999832.94181564497</v>
      </c>
      <c r="K287" s="130">
        <v>-1413478.55</v>
      </c>
      <c r="L287" s="142">
        <v>-1200000</v>
      </c>
      <c r="O287" s="88">
        <f t="shared" si="90"/>
        <v>200167.05818435503</v>
      </c>
      <c r="P287" s="123">
        <f t="shared" si="91"/>
        <v>1.2002005033169461</v>
      </c>
      <c r="Q287" s="88">
        <f t="shared" si="92"/>
        <v>-106703.80000000005</v>
      </c>
      <c r="R287" s="123">
        <f t="shared" si="93"/>
        <v>0.91834124917980642</v>
      </c>
      <c r="S287" s="88">
        <f t="shared" si="96"/>
        <v>-213478.55000000005</v>
      </c>
      <c r="T287" s="124">
        <f t="shared" si="97"/>
        <v>0.84896937417267493</v>
      </c>
      <c r="U287" s="88">
        <f t="shared" si="98"/>
        <v>106774.75</v>
      </c>
      <c r="V287" s="124">
        <f t="shared" si="99"/>
        <v>1.0817130477465513</v>
      </c>
      <c r="W287" s="157">
        <f t="shared" si="94"/>
        <v>11</v>
      </c>
    </row>
    <row r="288" spans="1:23" ht="11.25" customHeight="1" x14ac:dyDescent="0.25">
      <c r="A288" s="55" t="s">
        <v>1189</v>
      </c>
      <c r="B288" s="282">
        <f t="shared" si="95"/>
        <v>11</v>
      </c>
      <c r="C288" s="160" t="s">
        <v>916</v>
      </c>
      <c r="D288" s="160" t="s">
        <v>920</v>
      </c>
      <c r="E288" s="160" t="s">
        <v>1250</v>
      </c>
      <c r="F288" s="381" t="s">
        <v>285</v>
      </c>
      <c r="G288" s="382"/>
      <c r="H288" s="54">
        <v>-20860103.920000002</v>
      </c>
      <c r="I288" s="54">
        <v>-20423598.649999999</v>
      </c>
      <c r="J288" s="136">
        <v>-19999999.9999994</v>
      </c>
      <c r="K288" s="161">
        <v>-20683113.079999998</v>
      </c>
      <c r="L288" s="153">
        <f>-20000000+2000000-2000000</f>
        <v>-20000000</v>
      </c>
      <c r="M288" s="168" t="s">
        <v>1729</v>
      </c>
      <c r="N288" s="168"/>
      <c r="O288" s="99">
        <f t="shared" si="90"/>
        <v>5.9977173805236816E-7</v>
      </c>
      <c r="P288" s="162">
        <f t="shared" si="91"/>
        <v>1.00000000000003</v>
      </c>
      <c r="Q288" s="99">
        <f t="shared" si="92"/>
        <v>-423598.64999999851</v>
      </c>
      <c r="R288" s="162">
        <f t="shared" si="93"/>
        <v>0.97925935300339451</v>
      </c>
      <c r="S288" s="99">
        <f t="shared" si="96"/>
        <v>-683113.07999999821</v>
      </c>
      <c r="T288" s="124">
        <f t="shared" si="97"/>
        <v>0.96697242444317777</v>
      </c>
      <c r="U288" s="99">
        <f t="shared" si="98"/>
        <v>259514.4299999997</v>
      </c>
      <c r="V288" s="124">
        <f t="shared" si="99"/>
        <v>1.0127065966408422</v>
      </c>
      <c r="W288" s="157">
        <f t="shared" si="94"/>
        <v>11</v>
      </c>
    </row>
    <row r="289" spans="1:23" ht="11.25" customHeight="1" x14ac:dyDescent="0.25">
      <c r="A289" s="42" t="s">
        <v>1190</v>
      </c>
      <c r="B289" s="282">
        <f t="shared" si="95"/>
        <v>11</v>
      </c>
      <c r="C289" s="20" t="s">
        <v>1241</v>
      </c>
      <c r="D289" s="20" t="s">
        <v>920</v>
      </c>
      <c r="E289" s="20" t="s">
        <v>1242</v>
      </c>
      <c r="F289" s="373" t="s">
        <v>286</v>
      </c>
      <c r="G289" s="374"/>
      <c r="H289" s="11">
        <v>-611961.19999999995</v>
      </c>
      <c r="I289" s="11">
        <v>-635809.1</v>
      </c>
      <c r="J289" s="336">
        <v>-1530000</v>
      </c>
      <c r="K289" s="130">
        <v>-899284.61</v>
      </c>
      <c r="L289" s="142">
        <v>-1490000</v>
      </c>
      <c r="M289" s="105"/>
      <c r="N289" s="105"/>
      <c r="O289" s="88">
        <f t="shared" si="90"/>
        <v>-40000</v>
      </c>
      <c r="P289" s="123">
        <f t="shared" si="91"/>
        <v>0.97385620915032678</v>
      </c>
      <c r="Q289" s="88">
        <f t="shared" si="92"/>
        <v>854190.9</v>
      </c>
      <c r="R289" s="123">
        <f t="shared" si="93"/>
        <v>2.3434707052793047</v>
      </c>
      <c r="S289" s="88">
        <f t="shared" si="96"/>
        <v>590715.39</v>
      </c>
      <c r="T289" s="124">
        <f t="shared" si="97"/>
        <v>1.6568725667394664</v>
      </c>
      <c r="U289" s="88">
        <f t="shared" si="98"/>
        <v>263475.51</v>
      </c>
      <c r="V289" s="124">
        <f t="shared" si="99"/>
        <v>1.4143940531835735</v>
      </c>
      <c r="W289" s="157">
        <f t="shared" si="94"/>
        <v>11</v>
      </c>
    </row>
    <row r="290" spans="1:23" ht="11.25" customHeight="1" x14ac:dyDescent="0.25">
      <c r="A290" s="42" t="s">
        <v>1191</v>
      </c>
      <c r="B290" s="282">
        <f t="shared" si="95"/>
        <v>11</v>
      </c>
      <c r="C290" s="20" t="s">
        <v>916</v>
      </c>
      <c r="D290" s="20" t="s">
        <v>919</v>
      </c>
      <c r="E290" s="20" t="s">
        <v>1649</v>
      </c>
      <c r="F290" s="373" t="s">
        <v>287</v>
      </c>
      <c r="G290" s="374"/>
      <c r="H290" s="11">
        <v>-98868.22</v>
      </c>
      <c r="I290" s="11">
        <v>-278119</v>
      </c>
      <c r="J290" s="336">
        <v>-249999.999999989</v>
      </c>
      <c r="K290" s="130">
        <v>-258658.73</v>
      </c>
      <c r="L290" s="142">
        <v>-350000</v>
      </c>
      <c r="O290" s="88">
        <f t="shared" si="90"/>
        <v>100000.000000011</v>
      </c>
      <c r="P290" s="123">
        <f t="shared" si="91"/>
        <v>1.4000000000000616</v>
      </c>
      <c r="Q290" s="88">
        <f t="shared" si="92"/>
        <v>71881</v>
      </c>
      <c r="R290" s="123">
        <f t="shared" si="93"/>
        <v>1.2584541149651767</v>
      </c>
      <c r="S290" s="88">
        <f t="shared" si="96"/>
        <v>91341.26999999999</v>
      </c>
      <c r="T290" s="124">
        <f t="shared" si="97"/>
        <v>1.3531343017109843</v>
      </c>
      <c r="U290" s="88">
        <f t="shared" si="98"/>
        <v>-19460.26999999999</v>
      </c>
      <c r="V290" s="124">
        <f t="shared" si="99"/>
        <v>0.9300289804004761</v>
      </c>
      <c r="W290" s="157">
        <f t="shared" si="94"/>
        <v>11</v>
      </c>
    </row>
    <row r="291" spans="1:23" ht="11.25" customHeight="1" x14ac:dyDescent="0.25">
      <c r="A291" s="42" t="s">
        <v>1192</v>
      </c>
      <c r="B291" s="282">
        <f t="shared" si="95"/>
        <v>11</v>
      </c>
      <c r="C291" s="20" t="s">
        <v>916</v>
      </c>
      <c r="D291" s="20" t="s">
        <v>919</v>
      </c>
      <c r="E291" s="20" t="s">
        <v>918</v>
      </c>
      <c r="F291" s="373" t="s">
        <v>288</v>
      </c>
      <c r="G291" s="374"/>
      <c r="H291" s="11">
        <v>-280905.43000000098</v>
      </c>
      <c r="I291" s="11">
        <v>-356938.50000000099</v>
      </c>
      <c r="J291" s="336">
        <v>-329999.99999998399</v>
      </c>
      <c r="K291" s="130">
        <v>-319709.98000000103</v>
      </c>
      <c r="L291" s="142">
        <v>-400000</v>
      </c>
      <c r="O291" s="88">
        <f t="shared" si="90"/>
        <v>70000.000000016007</v>
      </c>
      <c r="P291" s="123">
        <f t="shared" si="91"/>
        <v>1.212121212121271</v>
      </c>
      <c r="Q291" s="88">
        <f t="shared" si="92"/>
        <v>43061.49999999901</v>
      </c>
      <c r="R291" s="123">
        <f t="shared" si="93"/>
        <v>1.120641230912325</v>
      </c>
      <c r="S291" s="88">
        <f t="shared" si="96"/>
        <v>80290.019999998971</v>
      </c>
      <c r="T291" s="124">
        <f t="shared" si="97"/>
        <v>1.2511339183093337</v>
      </c>
      <c r="U291" s="88">
        <f t="shared" si="98"/>
        <v>-37228.51999999996</v>
      </c>
      <c r="V291" s="124">
        <f t="shared" si="99"/>
        <v>0.89570046380538981</v>
      </c>
      <c r="W291" s="157">
        <f t="shared" si="94"/>
        <v>11</v>
      </c>
    </row>
    <row r="292" spans="1:23" ht="11.25" customHeight="1" x14ac:dyDescent="0.25">
      <c r="A292" s="42" t="s">
        <v>1193</v>
      </c>
      <c r="B292" s="282">
        <f t="shared" si="95"/>
        <v>11</v>
      </c>
      <c r="C292" s="20" t="s">
        <v>1654</v>
      </c>
      <c r="D292" s="20" t="s">
        <v>919</v>
      </c>
      <c r="E292" s="20" t="s">
        <v>1655</v>
      </c>
      <c r="F292" s="373" t="s">
        <v>289</v>
      </c>
      <c r="G292" s="374"/>
      <c r="H292" s="11">
        <v>-813867.3</v>
      </c>
      <c r="I292" s="11">
        <v>-745230.6</v>
      </c>
      <c r="J292" s="336">
        <v>-619999.99999999604</v>
      </c>
      <c r="K292" s="130">
        <v>-726088</v>
      </c>
      <c r="L292" s="142">
        <v>-848476</v>
      </c>
      <c r="O292" s="88">
        <f t="shared" si="90"/>
        <v>228476.00000000396</v>
      </c>
      <c r="P292" s="123">
        <f t="shared" si="91"/>
        <v>1.3685096774193635</v>
      </c>
      <c r="Q292" s="88">
        <f t="shared" si="92"/>
        <v>103245.40000000002</v>
      </c>
      <c r="R292" s="123">
        <f t="shared" si="93"/>
        <v>1.1385415467373454</v>
      </c>
      <c r="S292" s="88">
        <f t="shared" si="96"/>
        <v>122388</v>
      </c>
      <c r="T292" s="124">
        <f t="shared" si="97"/>
        <v>1.1685580811141349</v>
      </c>
      <c r="U292" s="88">
        <f t="shared" si="98"/>
        <v>-19142.599999999977</v>
      </c>
      <c r="V292" s="124">
        <f t="shared" si="99"/>
        <v>0.9743131857441174</v>
      </c>
      <c r="W292" s="157">
        <f t="shared" si="94"/>
        <v>11</v>
      </c>
    </row>
    <row r="293" spans="1:23" ht="11.25" customHeight="1" x14ac:dyDescent="0.25">
      <c r="A293" s="42" t="s">
        <v>1194</v>
      </c>
      <c r="B293" s="282">
        <f t="shared" si="95"/>
        <v>11</v>
      </c>
      <c r="C293" s="20" t="s">
        <v>916</v>
      </c>
      <c r="D293" s="20" t="s">
        <v>920</v>
      </c>
      <c r="E293" s="20" t="s">
        <v>1250</v>
      </c>
      <c r="F293" s="373" t="s">
        <v>290</v>
      </c>
      <c r="G293" s="374"/>
      <c r="H293" s="11">
        <v>-3273622.94</v>
      </c>
      <c r="I293" s="11">
        <v>-4100118.37</v>
      </c>
      <c r="J293" s="336">
        <v>-3969999.9999998002</v>
      </c>
      <c r="K293" s="130">
        <v>-4101176.2</v>
      </c>
      <c r="L293" s="142">
        <v>-4290000</v>
      </c>
      <c r="O293" s="88">
        <f t="shared" si="90"/>
        <v>320000.00000019977</v>
      </c>
      <c r="P293" s="123">
        <f t="shared" si="91"/>
        <v>1.0806045340050923</v>
      </c>
      <c r="Q293" s="88">
        <f t="shared" si="92"/>
        <v>189881.62999999989</v>
      </c>
      <c r="R293" s="123">
        <f t="shared" si="93"/>
        <v>1.04631125564309</v>
      </c>
      <c r="S293" s="88">
        <f t="shared" si="96"/>
        <v>188823.79999999981</v>
      </c>
      <c r="T293" s="124">
        <f t="shared" si="97"/>
        <v>1.0460413771054264</v>
      </c>
      <c r="U293" s="88">
        <f t="shared" si="98"/>
        <v>1057.8300000000745</v>
      </c>
      <c r="V293" s="124">
        <f t="shared" si="99"/>
        <v>1.0002579998684282</v>
      </c>
      <c r="W293" s="157">
        <f t="shared" si="94"/>
        <v>11</v>
      </c>
    </row>
    <row r="294" spans="1:23" ht="11.25" customHeight="1" x14ac:dyDescent="0.25">
      <c r="A294" s="42" t="s">
        <v>1691</v>
      </c>
      <c r="B294" s="282">
        <f t="shared" si="95"/>
        <v>11</v>
      </c>
      <c r="C294" s="20" t="s">
        <v>916</v>
      </c>
      <c r="D294" s="20" t="s">
        <v>923</v>
      </c>
      <c r="E294" s="20" t="s">
        <v>1248</v>
      </c>
      <c r="F294" s="373" t="s">
        <v>1692</v>
      </c>
      <c r="G294" s="374"/>
      <c r="H294" s="85">
        <v>0</v>
      </c>
      <c r="I294" s="85">
        <v>0</v>
      </c>
      <c r="J294" s="336">
        <v>0</v>
      </c>
      <c r="K294" s="130">
        <v>0</v>
      </c>
      <c r="L294" s="142">
        <v>-1488022.91</v>
      </c>
      <c r="O294" s="88">
        <f t="shared" si="90"/>
        <v>1488022.91</v>
      </c>
      <c r="P294" s="123" t="str">
        <f t="shared" si="91"/>
        <v/>
      </c>
      <c r="Q294" s="88">
        <f t="shared" si="92"/>
        <v>1488022.91</v>
      </c>
      <c r="R294" s="123" t="str">
        <f t="shared" si="93"/>
        <v/>
      </c>
      <c r="S294" s="88">
        <f t="shared" si="96"/>
        <v>1488022.91</v>
      </c>
      <c r="T294" s="124" t="str">
        <f t="shared" si="97"/>
        <v/>
      </c>
      <c r="U294" s="88">
        <f t="shared" si="98"/>
        <v>0</v>
      </c>
      <c r="V294" s="124" t="str">
        <f t="shared" si="99"/>
        <v/>
      </c>
      <c r="W294" s="157">
        <f t="shared" si="94"/>
        <v>11</v>
      </c>
    </row>
    <row r="295" spans="1:23" ht="11.25" customHeight="1" x14ac:dyDescent="0.25">
      <c r="A295" s="55" t="s">
        <v>1195</v>
      </c>
      <c r="B295" s="282">
        <f t="shared" si="95"/>
        <v>11</v>
      </c>
      <c r="C295" s="160" t="s">
        <v>916</v>
      </c>
      <c r="D295" s="160" t="s">
        <v>920</v>
      </c>
      <c r="E295" s="160" t="s">
        <v>1250</v>
      </c>
      <c r="F295" s="381" t="s">
        <v>291</v>
      </c>
      <c r="G295" s="382"/>
      <c r="H295" s="54">
        <v>-29732296.989999998</v>
      </c>
      <c r="I295" s="54">
        <v>-32725622.690000001</v>
      </c>
      <c r="J295" s="136">
        <v>-34379999.999999397</v>
      </c>
      <c r="K295" s="161">
        <v>-39610869.990000002</v>
      </c>
      <c r="L295" s="153">
        <f>-35572000+3000000</f>
        <v>-32572000</v>
      </c>
      <c r="M295" s="168" t="s">
        <v>1728</v>
      </c>
      <c r="N295" s="168"/>
      <c r="O295" s="99">
        <f t="shared" si="90"/>
        <v>-1807999.9999993965</v>
      </c>
      <c r="P295" s="162">
        <f t="shared" si="91"/>
        <v>0.94741128563119759</v>
      </c>
      <c r="Q295" s="99">
        <f t="shared" si="92"/>
        <v>-153622.69000000134</v>
      </c>
      <c r="R295" s="162">
        <f t="shared" si="93"/>
        <v>0.99530573668665612</v>
      </c>
      <c r="S295" s="99">
        <f t="shared" si="96"/>
        <v>-7038869.9900000021</v>
      </c>
      <c r="T295" s="124">
        <f t="shared" si="97"/>
        <v>0.8222995356633922</v>
      </c>
      <c r="U295" s="99">
        <f t="shared" si="98"/>
        <v>6885247.3000000007</v>
      </c>
      <c r="V295" s="124">
        <f t="shared" si="99"/>
        <v>1.2103931639505192</v>
      </c>
      <c r="W295" s="157">
        <f t="shared" si="94"/>
        <v>11</v>
      </c>
    </row>
    <row r="296" spans="1:23" ht="11.25" customHeight="1" x14ac:dyDescent="0.25">
      <c r="A296" s="42" t="s">
        <v>1196</v>
      </c>
      <c r="B296" s="282">
        <f t="shared" si="95"/>
        <v>11</v>
      </c>
      <c r="C296" s="20" t="s">
        <v>916</v>
      </c>
      <c r="D296" s="20" t="s">
        <v>920</v>
      </c>
      <c r="E296" s="20" t="s">
        <v>1250</v>
      </c>
      <c r="F296" s="373" t="s">
        <v>292</v>
      </c>
      <c r="G296" s="374"/>
      <c r="H296" s="11">
        <v>-213146.59</v>
      </c>
      <c r="I296" s="11">
        <v>-76728.759999999995</v>
      </c>
      <c r="J296" s="336">
        <v>-499999.99999997998</v>
      </c>
      <c r="K296" s="130">
        <v>-136402.95000000001</v>
      </c>
      <c r="L296" s="142">
        <v>-100000</v>
      </c>
      <c r="O296" s="88">
        <f t="shared" si="90"/>
        <v>-399999.99999997998</v>
      </c>
      <c r="P296" s="123">
        <f t="shared" si="91"/>
        <v>0.200000000000008</v>
      </c>
      <c r="Q296" s="88">
        <f t="shared" si="92"/>
        <v>23271.240000000005</v>
      </c>
      <c r="R296" s="123">
        <f t="shared" si="93"/>
        <v>1.303292272675852</v>
      </c>
      <c r="S296" s="88">
        <f t="shared" si="96"/>
        <v>-36402.950000000012</v>
      </c>
      <c r="T296" s="124">
        <f t="shared" si="97"/>
        <v>0.73312197426815173</v>
      </c>
      <c r="U296" s="88">
        <f t="shared" si="98"/>
        <v>59674.190000000017</v>
      </c>
      <c r="V296" s="124">
        <f t="shared" si="99"/>
        <v>1.7777291070519063</v>
      </c>
      <c r="W296" s="157">
        <f t="shared" si="94"/>
        <v>11</v>
      </c>
    </row>
    <row r="297" spans="1:23" ht="11.25" customHeight="1" x14ac:dyDescent="0.25">
      <c r="A297" s="55" t="s">
        <v>1650</v>
      </c>
      <c r="B297" s="282">
        <f t="shared" si="95"/>
        <v>11</v>
      </c>
      <c r="C297" s="160" t="s">
        <v>916</v>
      </c>
      <c r="D297" s="160" t="s">
        <v>919</v>
      </c>
      <c r="E297" s="160" t="s">
        <v>1649</v>
      </c>
      <c r="F297" s="381" t="s">
        <v>1652</v>
      </c>
      <c r="G297" s="382"/>
      <c r="H297" s="54"/>
      <c r="I297" s="54"/>
      <c r="J297" s="136"/>
      <c r="K297" s="161">
        <v>-1392762.75</v>
      </c>
      <c r="L297" s="167">
        <v>-4500000</v>
      </c>
      <c r="M297" s="168" t="s">
        <v>1723</v>
      </c>
      <c r="N297" s="168"/>
      <c r="O297" s="99">
        <f t="shared" si="90"/>
        <v>4500000</v>
      </c>
      <c r="P297" s="162" t="str">
        <f t="shared" si="91"/>
        <v/>
      </c>
      <c r="Q297" s="99">
        <f t="shared" si="92"/>
        <v>4500000</v>
      </c>
      <c r="R297" s="162" t="str">
        <f t="shared" si="93"/>
        <v/>
      </c>
      <c r="S297" s="99">
        <f t="shared" si="96"/>
        <v>3107237.25</v>
      </c>
      <c r="T297" s="124">
        <f t="shared" si="97"/>
        <v>3.2309881923536512</v>
      </c>
      <c r="U297" s="99">
        <f t="shared" si="98"/>
        <v>1392762.75</v>
      </c>
      <c r="V297" s="124" t="str">
        <f t="shared" si="99"/>
        <v/>
      </c>
      <c r="W297" s="157">
        <f t="shared" si="94"/>
        <v>11</v>
      </c>
    </row>
    <row r="298" spans="1:23" ht="11.25" customHeight="1" x14ac:dyDescent="0.25">
      <c r="A298" s="55" t="s">
        <v>1651</v>
      </c>
      <c r="B298" s="282">
        <f t="shared" si="95"/>
        <v>11</v>
      </c>
      <c r="C298" s="160" t="s">
        <v>916</v>
      </c>
      <c r="D298" s="160" t="s">
        <v>919</v>
      </c>
      <c r="E298" s="160" t="s">
        <v>1649</v>
      </c>
      <c r="F298" s="381" t="s">
        <v>1653</v>
      </c>
      <c r="G298" s="382"/>
      <c r="H298" s="54"/>
      <c r="I298" s="54"/>
      <c r="J298" s="136"/>
      <c r="K298" s="161">
        <v>-613919.48</v>
      </c>
      <c r="L298" s="167">
        <v>-2200000</v>
      </c>
      <c r="M298" s="168" t="s">
        <v>1722</v>
      </c>
      <c r="N298" s="168"/>
      <c r="O298" s="99">
        <f t="shared" si="90"/>
        <v>2200000</v>
      </c>
      <c r="P298" s="162" t="str">
        <f t="shared" si="91"/>
        <v/>
      </c>
      <c r="Q298" s="99">
        <f t="shared" si="92"/>
        <v>2200000</v>
      </c>
      <c r="R298" s="162" t="str">
        <f t="shared" si="93"/>
        <v/>
      </c>
      <c r="S298" s="99">
        <f t="shared" si="96"/>
        <v>1586080.52</v>
      </c>
      <c r="T298" s="124">
        <f t="shared" si="97"/>
        <v>3.5835318338489603</v>
      </c>
      <c r="U298" s="99">
        <f t="shared" si="98"/>
        <v>613919.48</v>
      </c>
      <c r="V298" s="124" t="str">
        <f t="shared" si="99"/>
        <v/>
      </c>
      <c r="W298" s="157">
        <f t="shared" si="94"/>
        <v>11</v>
      </c>
    </row>
    <row r="299" spans="1:23" ht="11.25" customHeight="1" x14ac:dyDescent="0.25">
      <c r="A299" s="26" t="s">
        <v>1197</v>
      </c>
      <c r="B299" s="282">
        <f t="shared" si="95"/>
        <v>7</v>
      </c>
      <c r="C299" s="26"/>
      <c r="D299" s="23"/>
      <c r="E299" s="23"/>
      <c r="F299" s="379" t="s">
        <v>293</v>
      </c>
      <c r="G299" s="380"/>
      <c r="H299" s="25">
        <f t="shared" ref="H299:L299" si="104">SUM(H300)</f>
        <v>-618885.15</v>
      </c>
      <c r="I299" s="25">
        <f t="shared" si="104"/>
        <v>-685165.27</v>
      </c>
      <c r="J299" s="129">
        <f t="shared" si="104"/>
        <v>-649999.99999999104</v>
      </c>
      <c r="K299" s="342">
        <f t="shared" si="104"/>
        <v>-938042.23</v>
      </c>
      <c r="L299" s="140">
        <f t="shared" si="104"/>
        <v>-900000</v>
      </c>
      <c r="O299" s="88">
        <f t="shared" si="90"/>
        <v>250000.00000000896</v>
      </c>
      <c r="P299" s="123">
        <f t="shared" si="91"/>
        <v>1.3846153846154037</v>
      </c>
      <c r="Q299" s="88">
        <f t="shared" si="92"/>
        <v>214834.72999999998</v>
      </c>
      <c r="R299" s="123">
        <f t="shared" si="93"/>
        <v>1.3135516924259747</v>
      </c>
      <c r="S299" s="88">
        <f t="shared" si="96"/>
        <v>-38042.229999999981</v>
      </c>
      <c r="T299" s="124">
        <f t="shared" si="97"/>
        <v>0.95944507743537311</v>
      </c>
      <c r="U299" s="88">
        <f t="shared" si="98"/>
        <v>252876.95999999996</v>
      </c>
      <c r="V299" s="124">
        <f t="shared" si="99"/>
        <v>1.3690743986483727</v>
      </c>
      <c r="W299" s="157">
        <f t="shared" si="94"/>
        <v>7</v>
      </c>
    </row>
    <row r="300" spans="1:23" ht="11.25" customHeight="1" x14ac:dyDescent="0.25">
      <c r="A300" s="42" t="s">
        <v>1198</v>
      </c>
      <c r="B300" s="282">
        <f t="shared" si="95"/>
        <v>11</v>
      </c>
      <c r="C300" s="27" t="s">
        <v>916</v>
      </c>
      <c r="D300" s="28" t="s">
        <v>923</v>
      </c>
      <c r="E300" s="28" t="s">
        <v>1643</v>
      </c>
      <c r="F300" s="373" t="s">
        <v>294</v>
      </c>
      <c r="G300" s="374"/>
      <c r="H300" s="11">
        <v>-618885.15</v>
      </c>
      <c r="I300" s="11">
        <v>-685165.27</v>
      </c>
      <c r="J300" s="336">
        <v>-649999.99999999104</v>
      </c>
      <c r="K300" s="130">
        <v>-938042.23</v>
      </c>
      <c r="L300" s="142">
        <v>-900000</v>
      </c>
      <c r="O300" s="88">
        <f t="shared" si="90"/>
        <v>250000.00000000896</v>
      </c>
      <c r="P300" s="123">
        <f t="shared" si="91"/>
        <v>1.3846153846154037</v>
      </c>
      <c r="Q300" s="88">
        <f t="shared" si="92"/>
        <v>214834.72999999998</v>
      </c>
      <c r="R300" s="123">
        <f t="shared" si="93"/>
        <v>1.3135516924259747</v>
      </c>
      <c r="S300" s="88">
        <f t="shared" si="96"/>
        <v>-38042.229999999981</v>
      </c>
      <c r="T300" s="124">
        <f t="shared" si="97"/>
        <v>0.95944507743537311</v>
      </c>
      <c r="U300" s="88">
        <f t="shared" si="98"/>
        <v>252876.95999999996</v>
      </c>
      <c r="V300" s="124">
        <f t="shared" si="99"/>
        <v>1.3690743986483727</v>
      </c>
      <c r="W300" s="157">
        <f t="shared" si="94"/>
        <v>11</v>
      </c>
    </row>
    <row r="301" spans="1:23" ht="11.25" customHeight="1" x14ac:dyDescent="0.25">
      <c r="A301" s="26" t="s">
        <v>1199</v>
      </c>
      <c r="B301" s="282">
        <f t="shared" si="95"/>
        <v>7</v>
      </c>
      <c r="C301" s="26"/>
      <c r="D301" s="23"/>
      <c r="E301" s="23"/>
      <c r="F301" s="379" t="s">
        <v>295</v>
      </c>
      <c r="G301" s="380"/>
      <c r="H301" s="25">
        <f t="shared" ref="H301:L301" si="105">SUM(H302)</f>
        <v>0</v>
      </c>
      <c r="I301" s="25">
        <f t="shared" si="105"/>
        <v>-9644.5</v>
      </c>
      <c r="J301" s="129">
        <f t="shared" si="105"/>
        <v>0</v>
      </c>
      <c r="K301" s="342">
        <f t="shared" si="105"/>
        <v>-13310</v>
      </c>
      <c r="L301" s="140">
        <f t="shared" si="105"/>
        <v>0</v>
      </c>
      <c r="O301" s="88">
        <f t="shared" si="90"/>
        <v>0</v>
      </c>
      <c r="P301" s="123" t="str">
        <f t="shared" si="91"/>
        <v/>
      </c>
      <c r="Q301" s="88">
        <f t="shared" si="92"/>
        <v>-9644.5</v>
      </c>
      <c r="R301" s="123">
        <f t="shared" si="93"/>
        <v>0</v>
      </c>
      <c r="S301" s="88">
        <f t="shared" si="96"/>
        <v>-13310</v>
      </c>
      <c r="T301" s="124">
        <f t="shared" si="97"/>
        <v>0</v>
      </c>
      <c r="U301" s="88">
        <f t="shared" si="98"/>
        <v>3665.5</v>
      </c>
      <c r="V301" s="124">
        <f t="shared" si="99"/>
        <v>1.3800611747628182</v>
      </c>
      <c r="W301" s="157">
        <f t="shared" si="94"/>
        <v>7</v>
      </c>
    </row>
    <row r="302" spans="1:23" ht="11.25" customHeight="1" x14ac:dyDescent="0.25">
      <c r="A302" s="42" t="s">
        <v>1200</v>
      </c>
      <c r="B302" s="282">
        <f t="shared" si="95"/>
        <v>11</v>
      </c>
      <c r="C302" s="28" t="s">
        <v>916</v>
      </c>
      <c r="D302" s="28" t="s">
        <v>923</v>
      </c>
      <c r="E302" s="28" t="s">
        <v>917</v>
      </c>
      <c r="F302" s="373" t="s">
        <v>296</v>
      </c>
      <c r="G302" s="374"/>
      <c r="H302" s="11">
        <v>0</v>
      </c>
      <c r="I302" s="11">
        <v>-9644.5</v>
      </c>
      <c r="J302" s="336">
        <v>0</v>
      </c>
      <c r="K302" s="130">
        <v>-13310</v>
      </c>
      <c r="L302" s="142">
        <v>0</v>
      </c>
      <c r="O302" s="88">
        <f t="shared" si="90"/>
        <v>0</v>
      </c>
      <c r="P302" s="123" t="str">
        <f t="shared" si="91"/>
        <v/>
      </c>
      <c r="Q302" s="88">
        <f t="shared" si="92"/>
        <v>-9644.5</v>
      </c>
      <c r="R302" s="123">
        <f t="shared" si="93"/>
        <v>0</v>
      </c>
      <c r="S302" s="88">
        <f t="shared" si="96"/>
        <v>-13310</v>
      </c>
      <c r="T302" s="124">
        <f t="shared" si="97"/>
        <v>0</v>
      </c>
      <c r="U302" s="88">
        <f t="shared" si="98"/>
        <v>3665.5</v>
      </c>
      <c r="V302" s="124">
        <f t="shared" si="99"/>
        <v>1.3800611747628182</v>
      </c>
      <c r="W302" s="157">
        <f t="shared" si="94"/>
        <v>11</v>
      </c>
    </row>
    <row r="303" spans="1:23" ht="11.25" customHeight="1" x14ac:dyDescent="0.25">
      <c r="A303" s="26" t="s">
        <v>1201</v>
      </c>
      <c r="B303" s="282">
        <f t="shared" si="95"/>
        <v>7</v>
      </c>
      <c r="C303" s="26"/>
      <c r="D303" s="23"/>
      <c r="E303" s="23"/>
      <c r="F303" s="379" t="s">
        <v>297</v>
      </c>
      <c r="G303" s="380"/>
      <c r="H303" s="25">
        <f t="shared" ref="H303:L303" si="106">SUM(H304:H319)</f>
        <v>-53116619.75999999</v>
      </c>
      <c r="I303" s="25">
        <f t="shared" si="106"/>
        <v>-49278988.899999999</v>
      </c>
      <c r="J303" s="129">
        <f t="shared" si="106"/>
        <v>-76980844.465391278</v>
      </c>
      <c r="K303" s="342">
        <f t="shared" si="106"/>
        <v>-75190612.989999995</v>
      </c>
      <c r="L303" s="140">
        <f t="shared" si="106"/>
        <v>-88985920</v>
      </c>
      <c r="O303" s="88">
        <f t="shared" si="90"/>
        <v>12005075.534608722</v>
      </c>
      <c r="P303" s="123">
        <f t="shared" si="91"/>
        <v>1.1559488677732799</v>
      </c>
      <c r="Q303" s="88">
        <f t="shared" si="92"/>
        <v>39706931.100000001</v>
      </c>
      <c r="R303" s="123">
        <f t="shared" si="93"/>
        <v>1.8057578287690883</v>
      </c>
      <c r="S303" s="88">
        <f t="shared" si="96"/>
        <v>13795307.010000005</v>
      </c>
      <c r="T303" s="124">
        <f t="shared" si="97"/>
        <v>1.1834711337149855</v>
      </c>
      <c r="U303" s="88">
        <f t="shared" si="98"/>
        <v>25911624.089999996</v>
      </c>
      <c r="V303" s="124">
        <f t="shared" si="99"/>
        <v>1.5258148486484064</v>
      </c>
      <c r="W303" s="157">
        <f t="shared" si="94"/>
        <v>7</v>
      </c>
    </row>
    <row r="304" spans="1:23" ht="11.25" customHeight="1" x14ac:dyDescent="0.25">
      <c r="A304" s="42" t="s">
        <v>1202</v>
      </c>
      <c r="B304" s="282">
        <f t="shared" si="95"/>
        <v>11</v>
      </c>
      <c r="C304" s="28" t="s">
        <v>916</v>
      </c>
      <c r="D304" s="28" t="s">
        <v>923</v>
      </c>
      <c r="E304" s="28" t="s">
        <v>1660</v>
      </c>
      <c r="F304" s="373" t="s">
        <v>298</v>
      </c>
      <c r="G304" s="374"/>
      <c r="H304" s="11">
        <v>-1107335.27</v>
      </c>
      <c r="I304" s="11">
        <v>-1164135.1399999999</v>
      </c>
      <c r="J304" s="336">
        <v>-18900000</v>
      </c>
      <c r="K304" s="130">
        <v>-22290593.289999999</v>
      </c>
      <c r="L304" s="145">
        <f>-700000-1000000-1500000-700000-2000000-100000-1400000-2560000</f>
        <v>-9960000</v>
      </c>
      <c r="O304" s="88">
        <f t="shared" si="90"/>
        <v>-8940000</v>
      </c>
      <c r="P304" s="123">
        <f t="shared" si="91"/>
        <v>0.526984126984127</v>
      </c>
      <c r="Q304" s="88">
        <f t="shared" si="92"/>
        <v>8795864.8599999994</v>
      </c>
      <c r="R304" s="123">
        <f t="shared" si="93"/>
        <v>8.5557077162020914</v>
      </c>
      <c r="S304" s="88">
        <f t="shared" si="96"/>
        <v>-12330593.289999999</v>
      </c>
      <c r="T304" s="124">
        <f t="shared" si="97"/>
        <v>0.44682525361351655</v>
      </c>
      <c r="U304" s="88">
        <f t="shared" si="98"/>
        <v>21126458.149999999</v>
      </c>
      <c r="V304" s="124">
        <f t="shared" si="99"/>
        <v>19.147771185740517</v>
      </c>
      <c r="W304" s="157">
        <f t="shared" si="94"/>
        <v>11</v>
      </c>
    </row>
    <row r="305" spans="1:23" ht="11.25" customHeight="1" x14ac:dyDescent="0.25">
      <c r="A305" s="42" t="s">
        <v>1203</v>
      </c>
      <c r="B305" s="282">
        <f t="shared" si="95"/>
        <v>11</v>
      </c>
      <c r="C305" s="28" t="s">
        <v>916</v>
      </c>
      <c r="D305" s="28" t="s">
        <v>923</v>
      </c>
      <c r="E305" s="28" t="s">
        <v>1248</v>
      </c>
      <c r="F305" s="373" t="s">
        <v>299</v>
      </c>
      <c r="G305" s="374"/>
      <c r="H305" s="11">
        <v>-315142</v>
      </c>
      <c r="I305" s="11">
        <v>-323739</v>
      </c>
      <c r="J305" s="336">
        <v>-1829999.99999999</v>
      </c>
      <c r="K305" s="130">
        <v>-336744</v>
      </c>
      <c r="L305" s="142">
        <v>-1830000</v>
      </c>
      <c r="M305" s="105" t="s">
        <v>1699</v>
      </c>
      <c r="N305" s="105"/>
      <c r="O305" s="88">
        <f t="shared" si="90"/>
        <v>1.0011717677116394E-8</v>
      </c>
      <c r="P305" s="123">
        <f t="shared" si="91"/>
        <v>1.0000000000000056</v>
      </c>
      <c r="Q305" s="88">
        <f t="shared" si="92"/>
        <v>1506261</v>
      </c>
      <c r="R305" s="123">
        <f t="shared" si="93"/>
        <v>5.6527017134172901</v>
      </c>
      <c r="S305" s="88">
        <f t="shared" si="96"/>
        <v>1493256</v>
      </c>
      <c r="T305" s="124">
        <f t="shared" si="97"/>
        <v>5.4343952676216949</v>
      </c>
      <c r="U305" s="88">
        <f t="shared" si="98"/>
        <v>13005</v>
      </c>
      <c r="V305" s="124">
        <f t="shared" si="99"/>
        <v>1.0401712490617441</v>
      </c>
      <c r="W305" s="157">
        <f t="shared" si="94"/>
        <v>11</v>
      </c>
    </row>
    <row r="306" spans="1:23" ht="11.25" customHeight="1" x14ac:dyDescent="0.25">
      <c r="A306" s="42" t="s">
        <v>1204</v>
      </c>
      <c r="B306" s="282">
        <f t="shared" si="95"/>
        <v>11</v>
      </c>
      <c r="C306" s="27" t="s">
        <v>916</v>
      </c>
      <c r="D306" s="28" t="s">
        <v>923</v>
      </c>
      <c r="E306" s="28" t="s">
        <v>917</v>
      </c>
      <c r="F306" s="373" t="s">
        <v>300</v>
      </c>
      <c r="G306" s="374"/>
      <c r="H306" s="11">
        <v>-257925</v>
      </c>
      <c r="I306" s="11">
        <v>-732327.64</v>
      </c>
      <c r="J306" s="336">
        <v>-71999.999999975902</v>
      </c>
      <c r="K306" s="130">
        <v>-121033</v>
      </c>
      <c r="L306" s="148">
        <f>-76000-2370390-72000-664290</f>
        <v>-3182680</v>
      </c>
      <c r="M306" s="107" t="s">
        <v>1704</v>
      </c>
      <c r="N306" s="107"/>
      <c r="O306" s="88">
        <f t="shared" si="90"/>
        <v>3110680.0000000242</v>
      </c>
      <c r="P306" s="123">
        <f t="shared" si="91"/>
        <v>44.203888888903684</v>
      </c>
      <c r="Q306" s="88">
        <f t="shared" si="92"/>
        <v>2450352.36</v>
      </c>
      <c r="R306" s="123">
        <f t="shared" si="93"/>
        <v>4.3459782563990075</v>
      </c>
      <c r="S306" s="88">
        <f t="shared" si="96"/>
        <v>3061647</v>
      </c>
      <c r="T306" s="124">
        <f t="shared" si="97"/>
        <v>26.295968867994681</v>
      </c>
      <c r="U306" s="88">
        <f t="shared" si="98"/>
        <v>-611294.64</v>
      </c>
      <c r="V306" s="124">
        <f t="shared" si="99"/>
        <v>0.16527165354567253</v>
      </c>
      <c r="W306" s="157">
        <f t="shared" si="94"/>
        <v>11</v>
      </c>
    </row>
    <row r="307" spans="1:23" ht="11.25" customHeight="1" x14ac:dyDescent="0.25">
      <c r="A307" s="42" t="s">
        <v>1205</v>
      </c>
      <c r="B307" s="282">
        <f t="shared" si="95"/>
        <v>11</v>
      </c>
      <c r="C307" s="28" t="s">
        <v>922</v>
      </c>
      <c r="D307" s="28" t="s">
        <v>923</v>
      </c>
      <c r="E307" s="28" t="s">
        <v>1659</v>
      </c>
      <c r="F307" s="373" t="s">
        <v>301</v>
      </c>
      <c r="G307" s="374"/>
      <c r="H307" s="11">
        <v>-450688.13</v>
      </c>
      <c r="I307" s="11">
        <v>-443528.7</v>
      </c>
      <c r="J307" s="336">
        <v>-664999.99999999197</v>
      </c>
      <c r="K307" s="130">
        <v>-360416.28</v>
      </c>
      <c r="L307" s="142">
        <f>-200000-300000</f>
        <v>-500000</v>
      </c>
      <c r="O307" s="88">
        <f t="shared" si="90"/>
        <v>-164999.99999999197</v>
      </c>
      <c r="P307" s="123">
        <f t="shared" si="91"/>
        <v>0.75187969924812936</v>
      </c>
      <c r="Q307" s="88">
        <f t="shared" si="92"/>
        <v>56471.299999999988</v>
      </c>
      <c r="R307" s="123">
        <f t="shared" si="93"/>
        <v>1.127322764006027</v>
      </c>
      <c r="S307" s="88">
        <f t="shared" si="96"/>
        <v>139583.71999999997</v>
      </c>
      <c r="T307" s="124">
        <f t="shared" si="97"/>
        <v>1.3872847253181793</v>
      </c>
      <c r="U307" s="88">
        <f t="shared" si="98"/>
        <v>-83112.419999999984</v>
      </c>
      <c r="V307" s="124">
        <f t="shared" si="99"/>
        <v>0.81261095392474048</v>
      </c>
      <c r="W307" s="157">
        <f t="shared" si="94"/>
        <v>11</v>
      </c>
    </row>
    <row r="308" spans="1:23" ht="11.25" customHeight="1" x14ac:dyDescent="0.25">
      <c r="A308" s="42" t="s">
        <v>1206</v>
      </c>
      <c r="B308" s="282">
        <f t="shared" si="95"/>
        <v>11</v>
      </c>
      <c r="C308" s="27" t="s">
        <v>916</v>
      </c>
      <c r="D308" s="28" t="s">
        <v>920</v>
      </c>
      <c r="E308" s="28" t="s">
        <v>917</v>
      </c>
      <c r="F308" s="373" t="s">
        <v>302</v>
      </c>
      <c r="G308" s="374"/>
      <c r="H308" s="11">
        <v>-787238</v>
      </c>
      <c r="I308" s="11">
        <v>-788146</v>
      </c>
      <c r="J308" s="336">
        <v>-799999.99999999499</v>
      </c>
      <c r="K308" s="130">
        <v>-749482</v>
      </c>
      <c r="L308" s="142">
        <v>-800000</v>
      </c>
      <c r="O308" s="88">
        <f t="shared" si="90"/>
        <v>5.005858838558197E-9</v>
      </c>
      <c r="P308" s="123">
        <f t="shared" si="91"/>
        <v>1.0000000000000062</v>
      </c>
      <c r="Q308" s="88">
        <f t="shared" si="92"/>
        <v>11854</v>
      </c>
      <c r="R308" s="123">
        <f t="shared" si="93"/>
        <v>1.0150403605423362</v>
      </c>
      <c r="S308" s="88">
        <f t="shared" si="96"/>
        <v>50518</v>
      </c>
      <c r="T308" s="124">
        <f t="shared" si="97"/>
        <v>1.0674038869512543</v>
      </c>
      <c r="U308" s="88">
        <f t="shared" si="98"/>
        <v>-38664</v>
      </c>
      <c r="V308" s="124">
        <f t="shared" si="99"/>
        <v>0.95094309937498889</v>
      </c>
      <c r="W308" s="157">
        <f t="shared" si="94"/>
        <v>11</v>
      </c>
    </row>
    <row r="309" spans="1:23" ht="11.25" customHeight="1" x14ac:dyDescent="0.25">
      <c r="A309" s="42" t="s">
        <v>1207</v>
      </c>
      <c r="B309" s="282">
        <f t="shared" si="95"/>
        <v>11</v>
      </c>
      <c r="C309" s="27" t="s">
        <v>916</v>
      </c>
      <c r="D309" s="28" t="s">
        <v>920</v>
      </c>
      <c r="E309" s="28" t="s">
        <v>917</v>
      </c>
      <c r="F309" s="373" t="s">
        <v>303</v>
      </c>
      <c r="G309" s="374"/>
      <c r="H309" s="11">
        <v>-4567571.8499999996</v>
      </c>
      <c r="I309" s="11">
        <v>-4032408.46</v>
      </c>
      <c r="J309" s="336">
        <v>-2465000</v>
      </c>
      <c r="K309" s="130">
        <v>-3708940.39</v>
      </c>
      <c r="L309" s="145">
        <v>-4790000</v>
      </c>
      <c r="M309" s="104" t="s">
        <v>1730</v>
      </c>
      <c r="O309" s="88">
        <f t="shared" si="90"/>
        <v>2325000</v>
      </c>
      <c r="P309" s="123">
        <f t="shared" si="91"/>
        <v>1.9432048681541583</v>
      </c>
      <c r="Q309" s="88">
        <f t="shared" si="92"/>
        <v>757591.54</v>
      </c>
      <c r="R309" s="123">
        <f t="shared" si="93"/>
        <v>1.1878756945173159</v>
      </c>
      <c r="S309" s="88">
        <f t="shared" si="96"/>
        <v>1081059.6099999999</v>
      </c>
      <c r="T309" s="124">
        <f t="shared" si="97"/>
        <v>1.2914739780975557</v>
      </c>
      <c r="U309" s="88">
        <f t="shared" si="98"/>
        <v>-323468.06999999983</v>
      </c>
      <c r="V309" s="124">
        <f t="shared" si="99"/>
        <v>0.91978291058341843</v>
      </c>
      <c r="W309" s="157">
        <f t="shared" si="94"/>
        <v>11</v>
      </c>
    </row>
    <row r="310" spans="1:23" ht="11.25" customHeight="1" x14ac:dyDescent="0.25">
      <c r="A310" s="42" t="s">
        <v>1208</v>
      </c>
      <c r="B310" s="282">
        <f t="shared" si="95"/>
        <v>11</v>
      </c>
      <c r="C310" s="28" t="s">
        <v>1241</v>
      </c>
      <c r="D310" s="28" t="s">
        <v>920</v>
      </c>
      <c r="E310" s="28" t="s">
        <v>1251</v>
      </c>
      <c r="F310" s="373" t="s">
        <v>304</v>
      </c>
      <c r="G310" s="374"/>
      <c r="H310" s="11">
        <v>-491070.06</v>
      </c>
      <c r="I310" s="11">
        <v>-1564262.06</v>
      </c>
      <c r="J310" s="336">
        <v>-1759844.4653914999</v>
      </c>
      <c r="K310" s="130">
        <v>-1984491.15</v>
      </c>
      <c r="L310" s="142">
        <v>-1948000</v>
      </c>
      <c r="M310" s="105" t="s">
        <v>1705</v>
      </c>
      <c r="N310" s="105"/>
      <c r="O310" s="88">
        <f t="shared" si="90"/>
        <v>188155.53460850008</v>
      </c>
      <c r="P310" s="123">
        <f t="shared" si="91"/>
        <v>1.1069160021289963</v>
      </c>
      <c r="Q310" s="88">
        <f t="shared" si="92"/>
        <v>383737.93999999994</v>
      </c>
      <c r="R310" s="123">
        <f t="shared" si="93"/>
        <v>1.2453156346450032</v>
      </c>
      <c r="S310" s="88">
        <f t="shared" si="96"/>
        <v>-36491.149999999907</v>
      </c>
      <c r="T310" s="124">
        <f t="shared" si="97"/>
        <v>0.98161183535638352</v>
      </c>
      <c r="U310" s="88">
        <f t="shared" si="98"/>
        <v>420229.08999999985</v>
      </c>
      <c r="V310" s="124">
        <f t="shared" si="99"/>
        <v>1.2686436631979681</v>
      </c>
      <c r="W310" s="157">
        <f t="shared" si="94"/>
        <v>11</v>
      </c>
    </row>
    <row r="311" spans="1:23" ht="11.25" customHeight="1" x14ac:dyDescent="0.25">
      <c r="A311" s="42" t="s">
        <v>1209</v>
      </c>
      <c r="B311" s="282">
        <f t="shared" si="95"/>
        <v>11</v>
      </c>
      <c r="C311" s="20" t="s">
        <v>1654</v>
      </c>
      <c r="D311" s="20" t="s">
        <v>919</v>
      </c>
      <c r="E311" s="20" t="s">
        <v>1656</v>
      </c>
      <c r="F311" s="373" t="s">
        <v>305</v>
      </c>
      <c r="G311" s="374"/>
      <c r="H311" s="11">
        <v>-819305.52</v>
      </c>
      <c r="I311" s="11">
        <v>-195577.4</v>
      </c>
      <c r="J311" s="336">
        <v>0</v>
      </c>
      <c r="K311" s="130">
        <v>-327196.09999999998</v>
      </c>
      <c r="L311" s="148">
        <f>-2000000+1500000</f>
        <v>-500000</v>
      </c>
      <c r="M311" s="105" t="s">
        <v>1711</v>
      </c>
      <c r="N311" s="105"/>
      <c r="O311" s="88">
        <f t="shared" si="90"/>
        <v>500000</v>
      </c>
      <c r="P311" s="123" t="str">
        <f t="shared" si="91"/>
        <v/>
      </c>
      <c r="Q311" s="88">
        <f t="shared" si="92"/>
        <v>304422.59999999998</v>
      </c>
      <c r="R311" s="123">
        <f t="shared" si="93"/>
        <v>2.5565326055055442</v>
      </c>
      <c r="S311" s="88">
        <f t="shared" si="96"/>
        <v>172803.90000000002</v>
      </c>
      <c r="T311" s="124">
        <f t="shared" si="97"/>
        <v>1.5281355737430857</v>
      </c>
      <c r="U311" s="88">
        <f t="shared" si="98"/>
        <v>131618.69999999998</v>
      </c>
      <c r="V311" s="124">
        <f t="shared" si="99"/>
        <v>1.672974996088505</v>
      </c>
      <c r="W311" s="157">
        <f t="shared" si="94"/>
        <v>11</v>
      </c>
    </row>
    <row r="312" spans="1:23" ht="11.25" customHeight="1" x14ac:dyDescent="0.25">
      <c r="A312" s="42" t="s">
        <v>1210</v>
      </c>
      <c r="B312" s="282">
        <f t="shared" si="95"/>
        <v>11</v>
      </c>
      <c r="C312" s="20" t="s">
        <v>1654</v>
      </c>
      <c r="D312" s="20" t="s">
        <v>919</v>
      </c>
      <c r="E312" s="20" t="s">
        <v>1661</v>
      </c>
      <c r="F312" s="373" t="s">
        <v>306</v>
      </c>
      <c r="G312" s="374"/>
      <c r="H312" s="11">
        <v>-39504490.229999997</v>
      </c>
      <c r="I312" s="11">
        <v>-33494159.239999998</v>
      </c>
      <c r="J312" s="336">
        <v>-44565999.999999903</v>
      </c>
      <c r="K312" s="130">
        <v>-39222914.649999999</v>
      </c>
      <c r="L312" s="142">
        <f>-54725240-1200000-729000+750000-2000000</f>
        <v>-57904240</v>
      </c>
      <c r="O312" s="88">
        <f t="shared" si="90"/>
        <v>13338240.000000097</v>
      </c>
      <c r="P312" s="123">
        <f t="shared" si="91"/>
        <v>1.2992918368262829</v>
      </c>
      <c r="Q312" s="88">
        <f t="shared" si="92"/>
        <v>24410080.760000002</v>
      </c>
      <c r="R312" s="123">
        <f t="shared" si="93"/>
        <v>1.7287861917981375</v>
      </c>
      <c r="S312" s="88">
        <f t="shared" si="96"/>
        <v>18681325.350000001</v>
      </c>
      <c r="T312" s="124">
        <f t="shared" si="97"/>
        <v>1.4762860056857097</v>
      </c>
      <c r="U312" s="88">
        <f t="shared" si="98"/>
        <v>5728755.4100000001</v>
      </c>
      <c r="V312" s="124">
        <f t="shared" si="99"/>
        <v>1.1710374447362901</v>
      </c>
      <c r="W312" s="157">
        <f t="shared" si="94"/>
        <v>11</v>
      </c>
    </row>
    <row r="313" spans="1:23" ht="11.25" customHeight="1" x14ac:dyDescent="0.25">
      <c r="A313" s="42" t="s">
        <v>1211</v>
      </c>
      <c r="B313" s="282">
        <f t="shared" si="95"/>
        <v>11</v>
      </c>
      <c r="C313" s="28" t="s">
        <v>1241</v>
      </c>
      <c r="D313" s="28" t="s">
        <v>920</v>
      </c>
      <c r="E313" s="28" t="s">
        <v>1251</v>
      </c>
      <c r="F313" s="373" t="s">
        <v>307</v>
      </c>
      <c r="G313" s="374"/>
      <c r="H313" s="11">
        <v>-862223.17</v>
      </c>
      <c r="I313" s="11">
        <v>-1036340.97</v>
      </c>
      <c r="J313" s="336">
        <v>-1329999.9999999099</v>
      </c>
      <c r="K313" s="130">
        <v>-562161.66</v>
      </c>
      <c r="L313" s="142">
        <v>-1615000</v>
      </c>
      <c r="O313" s="88">
        <f t="shared" si="90"/>
        <v>285000.00000009011</v>
      </c>
      <c r="P313" s="123">
        <f t="shared" si="91"/>
        <v>1.2142857142857966</v>
      </c>
      <c r="Q313" s="88">
        <f t="shared" si="92"/>
        <v>578659.03</v>
      </c>
      <c r="R313" s="123">
        <f t="shared" si="93"/>
        <v>1.5583674164691184</v>
      </c>
      <c r="S313" s="88">
        <f t="shared" si="96"/>
        <v>1052838.3399999999</v>
      </c>
      <c r="T313" s="124">
        <f t="shared" si="97"/>
        <v>2.8728391046803154</v>
      </c>
      <c r="U313" s="88">
        <f t="shared" si="98"/>
        <v>-474179.30999999994</v>
      </c>
      <c r="V313" s="124">
        <f t="shared" si="99"/>
        <v>0.54244855339454545</v>
      </c>
      <c r="W313" s="157">
        <f t="shared" si="94"/>
        <v>11</v>
      </c>
    </row>
    <row r="314" spans="1:23" ht="11.25" customHeight="1" x14ac:dyDescent="0.25">
      <c r="A314" s="42" t="s">
        <v>1212</v>
      </c>
      <c r="B314" s="282">
        <f t="shared" si="95"/>
        <v>11</v>
      </c>
      <c r="C314" s="27" t="s">
        <v>916</v>
      </c>
      <c r="D314" s="28" t="s">
        <v>923</v>
      </c>
      <c r="E314" s="28" t="s">
        <v>917</v>
      </c>
      <c r="F314" s="373" t="s">
        <v>308</v>
      </c>
      <c r="G314" s="374"/>
      <c r="H314" s="11">
        <v>-231352</v>
      </c>
      <c r="I314" s="11">
        <v>-380303</v>
      </c>
      <c r="J314" s="336">
        <v>-392999.999999994</v>
      </c>
      <c r="K314" s="130">
        <v>-372075</v>
      </c>
      <c r="L314" s="142">
        <v>-400000</v>
      </c>
      <c r="O314" s="88">
        <f t="shared" si="90"/>
        <v>7000.0000000059954</v>
      </c>
      <c r="P314" s="123">
        <f t="shared" si="91"/>
        <v>1.0178117048346211</v>
      </c>
      <c r="Q314" s="88">
        <f t="shared" si="92"/>
        <v>19697</v>
      </c>
      <c r="R314" s="123">
        <f t="shared" si="93"/>
        <v>1.0517929124934591</v>
      </c>
      <c r="S314" s="88">
        <f t="shared" si="96"/>
        <v>27925</v>
      </c>
      <c r="T314" s="124">
        <f t="shared" si="97"/>
        <v>1.0750520728347779</v>
      </c>
      <c r="U314" s="88">
        <f t="shared" si="98"/>
        <v>-8228</v>
      </c>
      <c r="V314" s="124">
        <f t="shared" si="99"/>
        <v>0.97836461979000955</v>
      </c>
      <c r="W314" s="157">
        <f t="shared" si="94"/>
        <v>11</v>
      </c>
    </row>
    <row r="315" spans="1:23" ht="11.25" customHeight="1" x14ac:dyDescent="0.25">
      <c r="A315" s="42" t="s">
        <v>1213</v>
      </c>
      <c r="B315" s="282">
        <f t="shared" si="95"/>
        <v>11</v>
      </c>
      <c r="C315" s="28" t="s">
        <v>922</v>
      </c>
      <c r="D315" s="28" t="s">
        <v>923</v>
      </c>
      <c r="E315" s="28" t="s">
        <v>1249</v>
      </c>
      <c r="F315" s="373" t="s">
        <v>309</v>
      </c>
      <c r="G315" s="374"/>
      <c r="H315" s="11">
        <v>-1876376.79</v>
      </c>
      <c r="I315" s="11">
        <v>-2206996.65</v>
      </c>
      <c r="J315" s="336">
        <v>-1500000</v>
      </c>
      <c r="K315" s="130">
        <v>-1677086.35</v>
      </c>
      <c r="L315" s="142">
        <f>-2131000+100000</f>
        <v>-2031000</v>
      </c>
      <c r="O315" s="88">
        <f t="shared" si="90"/>
        <v>531000</v>
      </c>
      <c r="P315" s="123">
        <f t="shared" si="91"/>
        <v>1.3540000000000001</v>
      </c>
      <c r="Q315" s="88">
        <f t="shared" si="92"/>
        <v>-175996.64999999991</v>
      </c>
      <c r="R315" s="123">
        <f t="shared" si="93"/>
        <v>0.92025513495908573</v>
      </c>
      <c r="S315" s="88">
        <f t="shared" si="96"/>
        <v>353913.64999999991</v>
      </c>
      <c r="T315" s="124">
        <f t="shared" si="97"/>
        <v>1.2110288775530251</v>
      </c>
      <c r="U315" s="88">
        <f t="shared" si="98"/>
        <v>-529910.29999999981</v>
      </c>
      <c r="V315" s="124">
        <f t="shared" si="99"/>
        <v>0.75989528574952758</v>
      </c>
      <c r="W315" s="157">
        <f t="shared" si="94"/>
        <v>11</v>
      </c>
    </row>
    <row r="316" spans="1:23" ht="11.25" customHeight="1" x14ac:dyDescent="0.25">
      <c r="A316" s="42" t="s">
        <v>1214</v>
      </c>
      <c r="B316" s="282">
        <f t="shared" si="95"/>
        <v>11</v>
      </c>
      <c r="C316" s="20" t="s">
        <v>1243</v>
      </c>
      <c r="D316" s="20" t="s">
        <v>920</v>
      </c>
      <c r="E316" s="20" t="s">
        <v>1245</v>
      </c>
      <c r="F316" s="373" t="s">
        <v>310</v>
      </c>
      <c r="G316" s="374"/>
      <c r="H316" s="11">
        <v>-750558.4</v>
      </c>
      <c r="I316" s="11">
        <v>-1098941.96</v>
      </c>
      <c r="J316" s="336">
        <v>-999999.99999999604</v>
      </c>
      <c r="K316" s="130">
        <v>-1177288.31</v>
      </c>
      <c r="L316" s="142">
        <f>-2000000+500000</f>
        <v>-1500000</v>
      </c>
      <c r="M316" s="186" t="s">
        <v>1751</v>
      </c>
      <c r="N316" s="186"/>
      <c r="O316" s="88">
        <f t="shared" si="90"/>
        <v>500000.00000000396</v>
      </c>
      <c r="P316" s="123">
        <f t="shared" si="91"/>
        <v>1.500000000000006</v>
      </c>
      <c r="Q316" s="88">
        <f t="shared" si="92"/>
        <v>401058.04000000004</v>
      </c>
      <c r="R316" s="123">
        <f t="shared" si="93"/>
        <v>1.3649492462732062</v>
      </c>
      <c r="S316" s="88">
        <f t="shared" si="96"/>
        <v>322711.68999999994</v>
      </c>
      <c r="T316" s="124">
        <f t="shared" si="97"/>
        <v>1.2741144095790775</v>
      </c>
      <c r="U316" s="88">
        <f t="shared" si="98"/>
        <v>78346.350000000093</v>
      </c>
      <c r="V316" s="124">
        <f t="shared" si="99"/>
        <v>1.0712925275871712</v>
      </c>
      <c r="W316" s="157">
        <f t="shared" si="94"/>
        <v>11</v>
      </c>
    </row>
    <row r="317" spans="1:23" ht="11.25" customHeight="1" x14ac:dyDescent="0.25">
      <c r="A317" s="42" t="s">
        <v>1215</v>
      </c>
      <c r="B317" s="282">
        <f t="shared" si="95"/>
        <v>11</v>
      </c>
      <c r="C317" s="27" t="s">
        <v>922</v>
      </c>
      <c r="D317" s="28" t="s">
        <v>920</v>
      </c>
      <c r="E317" s="28" t="s">
        <v>1249</v>
      </c>
      <c r="F317" s="373" t="s">
        <v>311</v>
      </c>
      <c r="G317" s="374"/>
      <c r="H317" s="11">
        <v>-921882.94</v>
      </c>
      <c r="I317" s="11">
        <v>-1623854.33</v>
      </c>
      <c r="J317" s="336">
        <v>-1500000</v>
      </c>
      <c r="K317" s="130">
        <v>-2277650.81</v>
      </c>
      <c r="L317" s="142">
        <f>-1800000+150000-200000</f>
        <v>-1850000</v>
      </c>
      <c r="O317" s="88">
        <f t="shared" si="90"/>
        <v>350000</v>
      </c>
      <c r="P317" s="123">
        <f t="shared" si="91"/>
        <v>1.2333333333333334</v>
      </c>
      <c r="Q317" s="88">
        <f t="shared" si="92"/>
        <v>226145.66999999993</v>
      </c>
      <c r="R317" s="123">
        <f t="shared" si="93"/>
        <v>1.1392647516603289</v>
      </c>
      <c r="S317" s="88">
        <f t="shared" si="96"/>
        <v>-427650.81000000006</v>
      </c>
      <c r="T317" s="124">
        <f t="shared" si="97"/>
        <v>0.81224039781585311</v>
      </c>
      <c r="U317" s="88">
        <f t="shared" si="98"/>
        <v>653796.48</v>
      </c>
      <c r="V317" s="124">
        <f t="shared" si="99"/>
        <v>1.4026201537424849</v>
      </c>
      <c r="W317" s="157">
        <f t="shared" si="94"/>
        <v>11</v>
      </c>
    </row>
    <row r="318" spans="1:23" ht="11.25" customHeight="1" x14ac:dyDescent="0.25">
      <c r="A318" s="42" t="s">
        <v>1216</v>
      </c>
      <c r="B318" s="282">
        <f t="shared" si="95"/>
        <v>11</v>
      </c>
      <c r="C318" s="27" t="s">
        <v>916</v>
      </c>
      <c r="D318" s="28" t="s">
        <v>923</v>
      </c>
      <c r="E318" s="28" t="s">
        <v>917</v>
      </c>
      <c r="F318" s="373" t="s">
        <v>1686</v>
      </c>
      <c r="G318" s="374"/>
      <c r="H318" s="11">
        <v>-173460.4</v>
      </c>
      <c r="I318" s="11">
        <v>-194268.35</v>
      </c>
      <c r="J318" s="336">
        <v>-199999.99999999299</v>
      </c>
      <c r="K318" s="130">
        <v>-22540</v>
      </c>
      <c r="L318" s="142">
        <v>-175000</v>
      </c>
      <c r="O318" s="88">
        <f t="shared" si="90"/>
        <v>-24999.999999992986</v>
      </c>
      <c r="P318" s="123">
        <f t="shared" si="91"/>
        <v>0.87500000000003064</v>
      </c>
      <c r="Q318" s="88">
        <f t="shared" si="92"/>
        <v>-19268.350000000006</v>
      </c>
      <c r="R318" s="123">
        <f t="shared" si="93"/>
        <v>0.90081580453017696</v>
      </c>
      <c r="S318" s="88">
        <f t="shared" si="96"/>
        <v>152460</v>
      </c>
      <c r="T318" s="124">
        <f t="shared" si="97"/>
        <v>7.7639751552795033</v>
      </c>
      <c r="U318" s="88">
        <f t="shared" si="98"/>
        <v>-171728.35</v>
      </c>
      <c r="V318" s="124">
        <f t="shared" si="99"/>
        <v>0.11602507562348678</v>
      </c>
      <c r="W318" s="157">
        <f t="shared" si="94"/>
        <v>11</v>
      </c>
    </row>
    <row r="319" spans="1:23" ht="11.25" customHeight="1" x14ac:dyDescent="0.25">
      <c r="A319" s="42" t="s">
        <v>1217</v>
      </c>
      <c r="B319" s="282">
        <f t="shared" si="95"/>
        <v>11</v>
      </c>
      <c r="C319" s="14"/>
      <c r="D319" s="13"/>
      <c r="E319" s="13"/>
      <c r="F319" s="373" t="s">
        <v>312</v>
      </c>
      <c r="G319" s="374"/>
      <c r="H319" s="11">
        <v>0</v>
      </c>
      <c r="I319" s="11">
        <v>-9.0949470177292804E-13</v>
      </c>
      <c r="J319" s="336">
        <v>0</v>
      </c>
      <c r="K319" s="130">
        <v>0</v>
      </c>
      <c r="L319" s="141"/>
      <c r="O319" s="88">
        <f t="shared" si="90"/>
        <v>0</v>
      </c>
      <c r="P319" s="123" t="str">
        <f t="shared" si="91"/>
        <v/>
      </c>
      <c r="Q319" s="88">
        <f t="shared" si="92"/>
        <v>-9.0949470177292804E-13</v>
      </c>
      <c r="R319" s="123">
        <f t="shared" si="93"/>
        <v>0</v>
      </c>
      <c r="S319" s="88">
        <f t="shared" si="96"/>
        <v>0</v>
      </c>
      <c r="T319" s="124" t="str">
        <f t="shared" si="97"/>
        <v/>
      </c>
      <c r="U319" s="88">
        <f t="shared" si="98"/>
        <v>-9.0949470177292804E-13</v>
      </c>
      <c r="V319" s="124">
        <f t="shared" si="99"/>
        <v>0</v>
      </c>
      <c r="W319" s="157">
        <f t="shared" si="94"/>
        <v>11</v>
      </c>
    </row>
    <row r="320" spans="1:23" ht="11.25" customHeight="1" x14ac:dyDescent="0.25">
      <c r="A320" s="26" t="s">
        <v>1218</v>
      </c>
      <c r="B320" s="282">
        <f t="shared" si="95"/>
        <v>7</v>
      </c>
      <c r="C320" s="26"/>
      <c r="D320" s="23"/>
      <c r="E320" s="23"/>
      <c r="F320" s="379" t="s">
        <v>313</v>
      </c>
      <c r="G320" s="380"/>
      <c r="H320" s="25">
        <f t="shared" ref="H320:L320" si="107">SUM(H321:H322)</f>
        <v>-153928.70000000001</v>
      </c>
      <c r="I320" s="25">
        <f t="shared" si="107"/>
        <v>-71987.5</v>
      </c>
      <c r="J320" s="129">
        <f t="shared" si="107"/>
        <v>-499999.99999999203</v>
      </c>
      <c r="K320" s="342">
        <f t="shared" si="107"/>
        <v>-149036.81</v>
      </c>
      <c r="L320" s="140">
        <f t="shared" si="107"/>
        <v>-500000</v>
      </c>
      <c r="O320" s="88">
        <f t="shared" si="90"/>
        <v>7.9744495451450348E-9</v>
      </c>
      <c r="P320" s="123">
        <f t="shared" si="91"/>
        <v>1.000000000000016</v>
      </c>
      <c r="Q320" s="88">
        <f t="shared" si="92"/>
        <v>428012.5</v>
      </c>
      <c r="R320" s="123">
        <f t="shared" si="93"/>
        <v>6.9456502865080747</v>
      </c>
      <c r="S320" s="88">
        <f t="shared" si="96"/>
        <v>350963.19</v>
      </c>
      <c r="T320" s="124">
        <f t="shared" si="97"/>
        <v>3.3548758860311088</v>
      </c>
      <c r="U320" s="88">
        <f t="shared" si="98"/>
        <v>77049.31</v>
      </c>
      <c r="V320" s="124">
        <f t="shared" si="99"/>
        <v>2.0703151241534989</v>
      </c>
      <c r="W320" s="157">
        <f t="shared" si="94"/>
        <v>7</v>
      </c>
    </row>
    <row r="321" spans="1:23" ht="11.25" customHeight="1" x14ac:dyDescent="0.25">
      <c r="A321" s="42" t="s">
        <v>1219</v>
      </c>
      <c r="B321" s="282">
        <f t="shared" si="95"/>
        <v>11</v>
      </c>
      <c r="C321" s="27" t="s">
        <v>916</v>
      </c>
      <c r="D321" s="28" t="s">
        <v>920</v>
      </c>
      <c r="E321" s="28" t="s">
        <v>917</v>
      </c>
      <c r="F321" s="373" t="s">
        <v>314</v>
      </c>
      <c r="G321" s="374"/>
      <c r="H321" s="11">
        <v>-141228.70000000001</v>
      </c>
      <c r="I321" s="11">
        <v>-56987.5</v>
      </c>
      <c r="J321" s="336">
        <v>-499999.99999999203</v>
      </c>
      <c r="K321" s="130">
        <v>-144036.81</v>
      </c>
      <c r="L321" s="142">
        <v>-500000</v>
      </c>
      <c r="O321" s="88">
        <f t="shared" si="90"/>
        <v>7.9744495451450348E-9</v>
      </c>
      <c r="P321" s="123">
        <f t="shared" si="91"/>
        <v>1.000000000000016</v>
      </c>
      <c r="Q321" s="88">
        <f t="shared" si="92"/>
        <v>443012.5</v>
      </c>
      <c r="R321" s="123">
        <f t="shared" si="93"/>
        <v>8.7738539153323103</v>
      </c>
      <c r="S321" s="88">
        <f t="shared" si="96"/>
        <v>355963.19</v>
      </c>
      <c r="T321" s="124">
        <f t="shared" si="97"/>
        <v>3.4713348622480602</v>
      </c>
      <c r="U321" s="88">
        <f t="shared" si="98"/>
        <v>87049.31</v>
      </c>
      <c r="V321" s="124">
        <f t="shared" si="99"/>
        <v>2.5275158587409519</v>
      </c>
      <c r="W321" s="157">
        <f t="shared" si="94"/>
        <v>11</v>
      </c>
    </row>
    <row r="322" spans="1:23" ht="11.25" customHeight="1" x14ac:dyDescent="0.25">
      <c r="A322" s="42" t="s">
        <v>1220</v>
      </c>
      <c r="B322" s="282">
        <f t="shared" si="95"/>
        <v>11</v>
      </c>
      <c r="C322" s="27"/>
      <c r="D322" s="28"/>
      <c r="E322" s="28"/>
      <c r="F322" s="373" t="s">
        <v>315</v>
      </c>
      <c r="G322" s="374"/>
      <c r="H322" s="11">
        <v>-12700</v>
      </c>
      <c r="I322" s="11">
        <v>-15000</v>
      </c>
      <c r="J322" s="336">
        <v>0</v>
      </c>
      <c r="K322" s="130">
        <v>-5000</v>
      </c>
      <c r="L322" s="142">
        <v>0</v>
      </c>
      <c r="O322" s="88">
        <f t="shared" si="90"/>
        <v>0</v>
      </c>
      <c r="P322" s="123" t="str">
        <f t="shared" si="91"/>
        <v/>
      </c>
      <c r="Q322" s="88">
        <f t="shared" si="92"/>
        <v>-15000</v>
      </c>
      <c r="R322" s="123">
        <f t="shared" si="93"/>
        <v>0</v>
      </c>
      <c r="S322" s="88">
        <f t="shared" si="96"/>
        <v>-5000</v>
      </c>
      <c r="T322" s="124">
        <f t="shared" si="97"/>
        <v>0</v>
      </c>
      <c r="U322" s="88">
        <f t="shared" si="98"/>
        <v>-10000</v>
      </c>
      <c r="V322" s="124">
        <f t="shared" si="99"/>
        <v>0.33333333333333331</v>
      </c>
      <c r="W322" s="157">
        <f t="shared" si="94"/>
        <v>11</v>
      </c>
    </row>
    <row r="323" spans="1:23" ht="11.25" customHeight="1" x14ac:dyDescent="0.25">
      <c r="A323" s="26" t="s">
        <v>1221</v>
      </c>
      <c r="B323" s="282">
        <f t="shared" si="95"/>
        <v>7</v>
      </c>
      <c r="C323" s="31"/>
      <c r="D323" s="32"/>
      <c r="E323" s="32"/>
      <c r="F323" s="379" t="s">
        <v>316</v>
      </c>
      <c r="G323" s="380"/>
      <c r="H323" s="25">
        <f t="shared" ref="H323:L323" si="108">SUM(H324:H328)</f>
        <v>-58793.79</v>
      </c>
      <c r="I323" s="25">
        <f t="shared" si="108"/>
        <v>-37323.39</v>
      </c>
      <c r="J323" s="129">
        <f t="shared" si="108"/>
        <v>0</v>
      </c>
      <c r="K323" s="129">
        <f t="shared" si="108"/>
        <v>-47714.93</v>
      </c>
      <c r="L323" s="140">
        <f t="shared" si="108"/>
        <v>0</v>
      </c>
      <c r="O323" s="88">
        <f t="shared" si="90"/>
        <v>0</v>
      </c>
      <c r="P323" s="123" t="str">
        <f t="shared" si="91"/>
        <v/>
      </c>
      <c r="Q323" s="88">
        <f t="shared" si="92"/>
        <v>-37323.39</v>
      </c>
      <c r="R323" s="123">
        <f t="shared" si="93"/>
        <v>0</v>
      </c>
      <c r="S323" s="88">
        <f t="shared" si="96"/>
        <v>-47714.93</v>
      </c>
      <c r="T323" s="124">
        <f t="shared" si="97"/>
        <v>0</v>
      </c>
      <c r="U323" s="88">
        <f t="shared" si="98"/>
        <v>10391.540000000001</v>
      </c>
      <c r="V323" s="124">
        <f t="shared" si="99"/>
        <v>1.2784189753395927</v>
      </c>
      <c r="W323" s="157">
        <f t="shared" si="94"/>
        <v>7</v>
      </c>
    </row>
    <row r="324" spans="1:23" ht="11.25" customHeight="1" x14ac:dyDescent="0.25">
      <c r="A324" s="42" t="s">
        <v>1222</v>
      </c>
      <c r="B324" s="282">
        <f t="shared" si="95"/>
        <v>11</v>
      </c>
      <c r="C324" s="14"/>
      <c r="D324" s="13"/>
      <c r="E324" s="13"/>
      <c r="F324" s="359" t="s">
        <v>317</v>
      </c>
      <c r="G324" s="360"/>
      <c r="H324" s="11">
        <v>-3193.21</v>
      </c>
      <c r="I324" s="11">
        <v>-3498.2</v>
      </c>
      <c r="J324" s="336">
        <v>0</v>
      </c>
      <c r="K324" s="130">
        <v>-3914.51</v>
      </c>
      <c r="L324" s="141"/>
      <c r="O324" s="88">
        <f t="shared" si="90"/>
        <v>0</v>
      </c>
      <c r="P324" s="123" t="str">
        <f t="shared" si="91"/>
        <v/>
      </c>
      <c r="Q324" s="88">
        <f t="shared" si="92"/>
        <v>-3498.2</v>
      </c>
      <c r="R324" s="123">
        <f t="shared" si="93"/>
        <v>0</v>
      </c>
      <c r="S324" s="88">
        <f t="shared" si="96"/>
        <v>-3914.51</v>
      </c>
      <c r="T324" s="124">
        <f t="shared" si="97"/>
        <v>0</v>
      </c>
      <c r="U324" s="88">
        <f t="shared" si="98"/>
        <v>416.3100000000004</v>
      </c>
      <c r="V324" s="124">
        <f t="shared" si="99"/>
        <v>1.1190069178434625</v>
      </c>
      <c r="W324" s="157">
        <f t="shared" si="94"/>
        <v>11</v>
      </c>
    </row>
    <row r="325" spans="1:23" ht="11.25" customHeight="1" x14ac:dyDescent="0.25">
      <c r="A325" s="42" t="s">
        <v>1223</v>
      </c>
      <c r="B325" s="282">
        <f t="shared" si="95"/>
        <v>11</v>
      </c>
      <c r="C325" s="14"/>
      <c r="D325" s="13"/>
      <c r="E325" s="13"/>
      <c r="F325" s="373" t="s">
        <v>318</v>
      </c>
      <c r="G325" s="374"/>
      <c r="H325" s="11">
        <v>-2040.79</v>
      </c>
      <c r="I325" s="11">
        <v>-3476.99</v>
      </c>
      <c r="J325" s="336">
        <v>0</v>
      </c>
      <c r="K325" s="130">
        <v>-2750.94</v>
      </c>
      <c r="L325" s="141"/>
      <c r="O325" s="88">
        <f t="shared" si="90"/>
        <v>0</v>
      </c>
      <c r="P325" s="123" t="str">
        <f t="shared" si="91"/>
        <v/>
      </c>
      <c r="Q325" s="88">
        <f t="shared" si="92"/>
        <v>-3476.99</v>
      </c>
      <c r="R325" s="123">
        <f t="shared" si="93"/>
        <v>0</v>
      </c>
      <c r="S325" s="88">
        <f t="shared" si="96"/>
        <v>-2750.94</v>
      </c>
      <c r="T325" s="124">
        <f t="shared" si="97"/>
        <v>0</v>
      </c>
      <c r="U325" s="88">
        <f t="shared" si="98"/>
        <v>-726.04999999999973</v>
      </c>
      <c r="V325" s="124">
        <f t="shared" si="99"/>
        <v>0.79118432897419899</v>
      </c>
      <c r="W325" s="157">
        <f t="shared" si="94"/>
        <v>11</v>
      </c>
    </row>
    <row r="326" spans="1:23" ht="11.25" customHeight="1" x14ac:dyDescent="0.25">
      <c r="A326" s="42" t="s">
        <v>1224</v>
      </c>
      <c r="B326" s="282">
        <f t="shared" si="95"/>
        <v>11</v>
      </c>
      <c r="C326" s="14"/>
      <c r="D326" s="13"/>
      <c r="E326" s="13"/>
      <c r="F326" s="373" t="s">
        <v>319</v>
      </c>
      <c r="G326" s="374"/>
      <c r="H326" s="11">
        <v>-42820.23</v>
      </c>
      <c r="I326" s="11">
        <v>-23594.41</v>
      </c>
      <c r="J326" s="336">
        <v>0</v>
      </c>
      <c r="K326" s="130">
        <v>-21820.07</v>
      </c>
      <c r="L326" s="141"/>
      <c r="O326" s="88">
        <f t="shared" si="90"/>
        <v>0</v>
      </c>
      <c r="P326" s="123" t="str">
        <f t="shared" si="91"/>
        <v/>
      </c>
      <c r="Q326" s="88">
        <f t="shared" si="92"/>
        <v>-23594.41</v>
      </c>
      <c r="R326" s="123">
        <f t="shared" si="93"/>
        <v>0</v>
      </c>
      <c r="S326" s="88">
        <f t="shared" si="96"/>
        <v>-21820.07</v>
      </c>
      <c r="T326" s="124">
        <f t="shared" si="97"/>
        <v>0</v>
      </c>
      <c r="U326" s="88">
        <f t="shared" si="98"/>
        <v>-1774.3400000000001</v>
      </c>
      <c r="V326" s="124">
        <f t="shared" si="99"/>
        <v>0.92479828908627082</v>
      </c>
      <c r="W326" s="157">
        <f t="shared" si="94"/>
        <v>11</v>
      </c>
    </row>
    <row r="327" spans="1:23" ht="11.25" customHeight="1" x14ac:dyDescent="0.25">
      <c r="A327" s="42" t="s">
        <v>1225</v>
      </c>
      <c r="B327" s="282">
        <f t="shared" si="95"/>
        <v>11</v>
      </c>
      <c r="C327" s="14"/>
      <c r="D327" s="13"/>
      <c r="E327" s="13"/>
      <c r="F327" s="373" t="s">
        <v>320</v>
      </c>
      <c r="G327" s="374"/>
      <c r="H327" s="11">
        <v>-6980.64</v>
      </c>
      <c r="I327" s="11">
        <v>-5890.1</v>
      </c>
      <c r="J327" s="336">
        <v>0</v>
      </c>
      <c r="K327" s="130">
        <v>-18796.259999999998</v>
      </c>
      <c r="L327" s="141"/>
      <c r="O327" s="88">
        <f t="shared" si="90"/>
        <v>0</v>
      </c>
      <c r="P327" s="123" t="str">
        <f t="shared" si="91"/>
        <v/>
      </c>
      <c r="Q327" s="88">
        <f t="shared" si="92"/>
        <v>-5890.1</v>
      </c>
      <c r="R327" s="123">
        <f t="shared" si="93"/>
        <v>0</v>
      </c>
      <c r="S327" s="88">
        <f t="shared" si="96"/>
        <v>-18796.259999999998</v>
      </c>
      <c r="T327" s="124">
        <f t="shared" si="97"/>
        <v>0</v>
      </c>
      <c r="U327" s="88">
        <f t="shared" si="98"/>
        <v>12906.159999999998</v>
      </c>
      <c r="V327" s="124">
        <f t="shared" si="99"/>
        <v>3.1911614403830151</v>
      </c>
      <c r="W327" s="157">
        <f t="shared" si="94"/>
        <v>11</v>
      </c>
    </row>
    <row r="328" spans="1:23" ht="11.25" customHeight="1" x14ac:dyDescent="0.25">
      <c r="A328" s="42" t="s">
        <v>1226</v>
      </c>
      <c r="B328" s="282">
        <f t="shared" si="95"/>
        <v>11</v>
      </c>
      <c r="C328" s="14"/>
      <c r="D328" s="13"/>
      <c r="E328" s="13"/>
      <c r="F328" s="373" t="s">
        <v>321</v>
      </c>
      <c r="G328" s="374"/>
      <c r="H328" s="11">
        <v>-3758.92</v>
      </c>
      <c r="I328" s="11">
        <v>-863.69</v>
      </c>
      <c r="J328" s="336">
        <v>0</v>
      </c>
      <c r="K328" s="130">
        <v>-433.15</v>
      </c>
      <c r="L328" s="141"/>
      <c r="O328" s="88">
        <f t="shared" si="90"/>
        <v>0</v>
      </c>
      <c r="P328" s="123" t="str">
        <f t="shared" si="91"/>
        <v/>
      </c>
      <c r="Q328" s="88">
        <f t="shared" si="92"/>
        <v>-863.69</v>
      </c>
      <c r="R328" s="123">
        <f t="shared" si="93"/>
        <v>0</v>
      </c>
      <c r="S328" s="88">
        <f t="shared" si="96"/>
        <v>-433.15</v>
      </c>
      <c r="T328" s="124">
        <f t="shared" si="97"/>
        <v>0</v>
      </c>
      <c r="U328" s="88">
        <f t="shared" si="98"/>
        <v>-430.54000000000008</v>
      </c>
      <c r="V328" s="124">
        <f t="shared" si="99"/>
        <v>0.50151095879308538</v>
      </c>
      <c r="W328" s="157">
        <f t="shared" si="94"/>
        <v>11</v>
      </c>
    </row>
    <row r="329" spans="1:23" ht="11.25" customHeight="1" x14ac:dyDescent="0.25">
      <c r="A329" s="41" t="s">
        <v>322</v>
      </c>
      <c r="B329" s="282">
        <f t="shared" si="95"/>
        <v>3</v>
      </c>
      <c r="C329" s="41"/>
      <c r="D329" s="40"/>
      <c r="E329" s="40"/>
      <c r="F329" s="383" t="s">
        <v>323</v>
      </c>
      <c r="G329" s="384"/>
      <c r="H329" s="43">
        <f t="shared" ref="H329:L329" si="109">H330+H356+H357+H358+H372+H376+H377+H384</f>
        <v>-2579569530.6000004</v>
      </c>
      <c r="I329" s="43">
        <f t="shared" si="109"/>
        <v>-2922902513.5</v>
      </c>
      <c r="J329" s="127">
        <f t="shared" si="109"/>
        <v>-3200975876.67694</v>
      </c>
      <c r="K329" s="343">
        <f t="shared" si="109"/>
        <v>-3255993753.269999</v>
      </c>
      <c r="L329" s="138">
        <f t="shared" si="109"/>
        <v>-3441235993.2197032</v>
      </c>
      <c r="M329" s="104">
        <f>+L329-K329</f>
        <v>-185242239.94970417</v>
      </c>
      <c r="O329" s="88">
        <f t="shared" si="90"/>
        <v>240260116.54276323</v>
      </c>
      <c r="P329" s="123">
        <f t="shared" si="91"/>
        <v>1.0750583965013154</v>
      </c>
      <c r="Q329" s="88">
        <f t="shared" si="92"/>
        <v>518333479.7197032</v>
      </c>
      <c r="R329" s="123">
        <f t="shared" si="93"/>
        <v>1.1773351924416493</v>
      </c>
      <c r="S329" s="88">
        <f t="shared" si="96"/>
        <v>185242239.94970417</v>
      </c>
      <c r="T329" s="124">
        <f t="shared" si="97"/>
        <v>1.0568926889873991</v>
      </c>
      <c r="U329" s="88">
        <f t="shared" si="98"/>
        <v>333091239.76999903</v>
      </c>
      <c r="V329" s="124">
        <f t="shared" si="99"/>
        <v>1.1139590657682052</v>
      </c>
      <c r="W329" s="157">
        <f t="shared" si="94"/>
        <v>3</v>
      </c>
    </row>
    <row r="330" spans="1:23" ht="11.25" customHeight="1" x14ac:dyDescent="0.25">
      <c r="A330" s="38" t="s">
        <v>324</v>
      </c>
      <c r="B330" s="282">
        <f t="shared" si="95"/>
        <v>4</v>
      </c>
      <c r="C330" s="38"/>
      <c r="D330" s="22"/>
      <c r="E330" s="22"/>
      <c r="F330" s="385" t="s">
        <v>325</v>
      </c>
      <c r="G330" s="386"/>
      <c r="H330" s="37">
        <f>H331+H333+H335+H337+H339+H341+H343+H345+H347+H349+H351</f>
        <v>-1899259935.8399999</v>
      </c>
      <c r="I330" s="37">
        <f>I331+I333+I335+I337+I339+I341+I343+I345+I347+I349+I351</f>
        <v>-2151128029.52</v>
      </c>
      <c r="J330" s="128">
        <f>J331+J333+J335+J337+J339+J341+J343+J345+J347+J349+J351</f>
        <v>-2356092810.0009398</v>
      </c>
      <c r="K330" s="341">
        <f>K331+K333+K335+K337+K339+K341+K343+K345+K347+K349+K351</f>
        <v>-2400231530.48</v>
      </c>
      <c r="L330" s="139">
        <f t="shared" ref="L330" si="110">L331+L333+L335+L337+L339+L341+L343+L345+L347+L349+L351</f>
        <v>-2532879589.9990001</v>
      </c>
      <c r="M330" s="104">
        <f>+L329-J329</f>
        <v>-240260116.54276323</v>
      </c>
      <c r="O330" s="175">
        <f t="shared" si="90"/>
        <v>176786779.99806023</v>
      </c>
      <c r="P330" s="176">
        <f t="shared" si="91"/>
        <v>1.0750338778029673</v>
      </c>
      <c r="Q330" s="175">
        <f t="shared" si="92"/>
        <v>381751560.47900009</v>
      </c>
      <c r="R330" s="176">
        <f t="shared" si="93"/>
        <v>1.1774657552875565</v>
      </c>
      <c r="S330" s="175">
        <f t="shared" si="96"/>
        <v>132648059.51900005</v>
      </c>
      <c r="T330" s="177">
        <f t="shared" si="97"/>
        <v>1.0552646933575083</v>
      </c>
      <c r="U330" s="175">
        <f t="shared" si="98"/>
        <v>249103500.96000004</v>
      </c>
      <c r="V330" s="177">
        <f t="shared" si="99"/>
        <v>1.1158013365739019</v>
      </c>
      <c r="W330" s="157">
        <f t="shared" si="94"/>
        <v>4</v>
      </c>
    </row>
    <row r="331" spans="1:23" ht="11.25" customHeight="1" x14ac:dyDescent="0.25">
      <c r="A331" s="26" t="s">
        <v>1227</v>
      </c>
      <c r="B331" s="282">
        <f t="shared" si="95"/>
        <v>7</v>
      </c>
      <c r="C331" s="26"/>
      <c r="D331" s="23"/>
      <c r="E331" s="23"/>
      <c r="F331" s="379" t="s">
        <v>326</v>
      </c>
      <c r="G331" s="380"/>
      <c r="H331" s="25">
        <f t="shared" ref="H331:L331" si="111">SUM(H332)</f>
        <v>1356420.46</v>
      </c>
      <c r="I331" s="25">
        <f t="shared" si="111"/>
        <v>1474845.23</v>
      </c>
      <c r="J331" s="129">
        <f t="shared" si="111"/>
        <v>0</v>
      </c>
      <c r="K331" s="129">
        <f t="shared" si="111"/>
        <v>1311099.3899999999</v>
      </c>
      <c r="L331" s="140">
        <f t="shared" si="111"/>
        <v>0</v>
      </c>
      <c r="O331" s="88">
        <f t="shared" ref="O331:O394" si="112">-L331+J331</f>
        <v>0</v>
      </c>
      <c r="P331" s="123" t="str">
        <f t="shared" ref="P331:P394" si="113">IF(J331=0,"",L331/J331)</f>
        <v/>
      </c>
      <c r="Q331" s="88">
        <f t="shared" ref="Q331:Q394" si="114">-L331+I331</f>
        <v>1474845.23</v>
      </c>
      <c r="R331" s="123">
        <f t="shared" ref="R331:R394" si="115">IF(I331=0,"",L331/I331)</f>
        <v>0</v>
      </c>
      <c r="S331" s="88">
        <f t="shared" si="96"/>
        <v>1311099.3899999999</v>
      </c>
      <c r="T331" s="124">
        <f t="shared" si="97"/>
        <v>0</v>
      </c>
      <c r="U331" s="88">
        <f t="shared" si="98"/>
        <v>163745.84000000008</v>
      </c>
      <c r="V331" s="124">
        <f t="shared" si="99"/>
        <v>0.88897422138321591</v>
      </c>
      <c r="W331" s="157">
        <f t="shared" si="94"/>
        <v>7</v>
      </c>
    </row>
    <row r="332" spans="1:23" ht="11.25" customHeight="1" x14ac:dyDescent="0.25">
      <c r="A332" s="42" t="s">
        <v>1228</v>
      </c>
      <c r="B332" s="282">
        <f t="shared" ref="B332:B395" si="116">LEN(A332)</f>
        <v>11</v>
      </c>
      <c r="C332" s="14"/>
      <c r="D332" s="13"/>
      <c r="E332" s="13"/>
      <c r="F332" s="373" t="s">
        <v>327</v>
      </c>
      <c r="G332" s="374"/>
      <c r="H332" s="11">
        <v>1356420.46</v>
      </c>
      <c r="I332" s="11">
        <v>1474845.23</v>
      </c>
      <c r="J332" s="336">
        <v>0</v>
      </c>
      <c r="K332" s="130">
        <v>1311099.3899999999</v>
      </c>
      <c r="L332" s="141"/>
      <c r="O332" s="88">
        <f t="shared" si="112"/>
        <v>0</v>
      </c>
      <c r="P332" s="123" t="str">
        <f t="shared" si="113"/>
        <v/>
      </c>
      <c r="Q332" s="88">
        <f t="shared" si="114"/>
        <v>1474845.23</v>
      </c>
      <c r="R332" s="123">
        <f t="shared" si="115"/>
        <v>0</v>
      </c>
      <c r="S332" s="88">
        <f t="shared" ref="S332:S395" si="117">-L332+K332</f>
        <v>1311099.3899999999</v>
      </c>
      <c r="T332" s="124">
        <f t="shared" si="97"/>
        <v>0</v>
      </c>
      <c r="U332" s="88">
        <f t="shared" si="98"/>
        <v>163745.84000000008</v>
      </c>
      <c r="V332" s="124">
        <f t="shared" si="99"/>
        <v>0.88897422138321591</v>
      </c>
      <c r="W332" s="157">
        <f t="shared" si="94"/>
        <v>11</v>
      </c>
    </row>
    <row r="333" spans="1:23" ht="11.25" customHeight="1" x14ac:dyDescent="0.25">
      <c r="A333" s="26" t="s">
        <v>1229</v>
      </c>
      <c r="B333" s="282">
        <f t="shared" si="116"/>
        <v>7</v>
      </c>
      <c r="C333" s="24"/>
      <c r="D333" s="23"/>
      <c r="E333" s="23"/>
      <c r="F333" s="379" t="s">
        <v>328</v>
      </c>
      <c r="G333" s="380"/>
      <c r="H333" s="25">
        <f t="shared" ref="H333:L333" si="118">SUM(H334)</f>
        <v>-1870912351</v>
      </c>
      <c r="I333" s="25">
        <f t="shared" si="118"/>
        <v>-2117619457.5999999</v>
      </c>
      <c r="J333" s="129">
        <f t="shared" si="118"/>
        <v>-2320703350.0009398</v>
      </c>
      <c r="K333" s="129">
        <f t="shared" si="118"/>
        <v>-2359954476.1799998</v>
      </c>
      <c r="L333" s="140">
        <f t="shared" si="118"/>
        <v>-2493773864.9990001</v>
      </c>
      <c r="O333" s="88">
        <f t="shared" si="112"/>
        <v>173070514.99806023</v>
      </c>
      <c r="P333" s="123">
        <f t="shared" si="113"/>
        <v>1.0745767506208797</v>
      </c>
      <c r="Q333" s="88">
        <f t="shared" si="114"/>
        <v>376154407.39900017</v>
      </c>
      <c r="R333" s="123">
        <f t="shared" si="115"/>
        <v>1.1776307853845063</v>
      </c>
      <c r="S333" s="88">
        <f t="shared" si="117"/>
        <v>133819388.81900024</v>
      </c>
      <c r="T333" s="124">
        <f t="shared" ref="T333:T396" si="119">IF(K333=0,"",L333/K333)</f>
        <v>1.0567042246660665</v>
      </c>
      <c r="U333" s="88">
        <f t="shared" ref="U333:U396" si="120">-K333+I333</f>
        <v>242335018.57999992</v>
      </c>
      <c r="V333" s="124">
        <f t="shared" ref="V333:V396" si="121">IF(I333=0,"",K333/I333)</f>
        <v>1.1144374725639563</v>
      </c>
      <c r="W333" s="157">
        <f t="shared" si="94"/>
        <v>7</v>
      </c>
    </row>
    <row r="334" spans="1:23" ht="11.25" customHeight="1" x14ac:dyDescent="0.25">
      <c r="A334" s="42" t="s">
        <v>1230</v>
      </c>
      <c r="B334" s="282">
        <f t="shared" si="116"/>
        <v>11</v>
      </c>
      <c r="C334" s="20" t="s">
        <v>1432</v>
      </c>
      <c r="D334" s="20" t="s">
        <v>920</v>
      </c>
      <c r="E334" s="20" t="s">
        <v>1244</v>
      </c>
      <c r="F334" s="373" t="s">
        <v>329</v>
      </c>
      <c r="G334" s="374"/>
      <c r="H334" s="11">
        <v>-1870912351</v>
      </c>
      <c r="I334" s="11">
        <v>-2117619457.5999999</v>
      </c>
      <c r="J334" s="336">
        <v>-2320703350.0009398</v>
      </c>
      <c r="K334" s="344">
        <v>-2359954476.1799998</v>
      </c>
      <c r="L334" s="142">
        <v>-2493773864.9990001</v>
      </c>
      <c r="O334" s="88">
        <f t="shared" si="112"/>
        <v>173070514.99806023</v>
      </c>
      <c r="P334" s="123">
        <f t="shared" si="113"/>
        <v>1.0745767506208797</v>
      </c>
      <c r="Q334" s="88">
        <f t="shared" si="114"/>
        <v>376154407.39900017</v>
      </c>
      <c r="R334" s="123">
        <f t="shared" si="115"/>
        <v>1.1776307853845063</v>
      </c>
      <c r="S334" s="88">
        <f t="shared" si="117"/>
        <v>133819388.81900024</v>
      </c>
      <c r="T334" s="124">
        <f t="shared" si="119"/>
        <v>1.0567042246660665</v>
      </c>
      <c r="U334" s="88">
        <f t="shared" si="120"/>
        <v>242335018.57999992</v>
      </c>
      <c r="V334" s="124">
        <f t="shared" si="121"/>
        <v>1.1144374725639563</v>
      </c>
      <c r="W334" s="157"/>
    </row>
    <row r="335" spans="1:23" ht="11.25" customHeight="1" x14ac:dyDescent="0.25">
      <c r="A335" s="26" t="s">
        <v>1231</v>
      </c>
      <c r="B335" s="282">
        <f t="shared" si="116"/>
        <v>7</v>
      </c>
      <c r="C335" s="24"/>
      <c r="D335" s="23"/>
      <c r="E335" s="23"/>
      <c r="F335" s="379" t="s">
        <v>330</v>
      </c>
      <c r="G335" s="380"/>
      <c r="H335" s="25">
        <f t="shared" ref="H335:L335" si="122">SUM(H336)</f>
        <v>-73805</v>
      </c>
      <c r="I335" s="25">
        <f t="shared" si="122"/>
        <v>-72519</v>
      </c>
      <c r="J335" s="129">
        <f t="shared" si="122"/>
        <v>0</v>
      </c>
      <c r="K335" s="129">
        <f t="shared" si="122"/>
        <v>-65600</v>
      </c>
      <c r="L335" s="140">
        <f t="shared" si="122"/>
        <v>0</v>
      </c>
      <c r="O335" s="88">
        <f t="shared" si="112"/>
        <v>0</v>
      </c>
      <c r="P335" s="123" t="str">
        <f t="shared" si="113"/>
        <v/>
      </c>
      <c r="Q335" s="88">
        <f t="shared" si="114"/>
        <v>-72519</v>
      </c>
      <c r="R335" s="123">
        <f t="shared" si="115"/>
        <v>0</v>
      </c>
      <c r="S335" s="88">
        <f t="shared" si="117"/>
        <v>-65600</v>
      </c>
      <c r="T335" s="124">
        <f t="shared" si="119"/>
        <v>0</v>
      </c>
      <c r="U335" s="88">
        <f t="shared" si="120"/>
        <v>-6919</v>
      </c>
      <c r="V335" s="124">
        <f t="shared" si="121"/>
        <v>0.90459052110481386</v>
      </c>
      <c r="W335" s="157">
        <f t="shared" ref="W335:W398" si="123">LEN(A335)</f>
        <v>7</v>
      </c>
    </row>
    <row r="336" spans="1:23" ht="11.25" customHeight="1" x14ac:dyDescent="0.25">
      <c r="A336" s="42" t="s">
        <v>1232</v>
      </c>
      <c r="B336" s="282">
        <f t="shared" si="116"/>
        <v>11</v>
      </c>
      <c r="C336" s="20"/>
      <c r="D336" s="20"/>
      <c r="E336" s="20"/>
      <c r="F336" s="373" t="s">
        <v>331</v>
      </c>
      <c r="G336" s="374"/>
      <c r="H336" s="11">
        <v>-73805</v>
      </c>
      <c r="I336" s="11">
        <v>-72519</v>
      </c>
      <c r="J336" s="336">
        <v>0</v>
      </c>
      <c r="K336" s="130">
        <v>-65600</v>
      </c>
      <c r="L336" s="141"/>
      <c r="O336" s="88">
        <f t="shared" si="112"/>
        <v>0</v>
      </c>
      <c r="P336" s="123" t="str">
        <f t="shared" si="113"/>
        <v/>
      </c>
      <c r="Q336" s="88">
        <f t="shared" si="114"/>
        <v>-72519</v>
      </c>
      <c r="R336" s="123">
        <f t="shared" si="115"/>
        <v>0</v>
      </c>
      <c r="S336" s="88">
        <f t="shared" si="117"/>
        <v>-65600</v>
      </c>
      <c r="T336" s="124">
        <f t="shared" si="119"/>
        <v>0</v>
      </c>
      <c r="U336" s="88">
        <f t="shared" si="120"/>
        <v>-6919</v>
      </c>
      <c r="V336" s="124">
        <f t="shared" si="121"/>
        <v>0.90459052110481386</v>
      </c>
      <c r="W336" s="157">
        <f t="shared" si="123"/>
        <v>11</v>
      </c>
    </row>
    <row r="337" spans="1:23" ht="11.25" customHeight="1" x14ac:dyDescent="0.25">
      <c r="A337" s="26" t="s">
        <v>1233</v>
      </c>
      <c r="B337" s="282">
        <f t="shared" si="116"/>
        <v>7</v>
      </c>
      <c r="C337" s="24"/>
      <c r="D337" s="23"/>
      <c r="E337" s="23"/>
      <c r="F337" s="379" t="s">
        <v>332</v>
      </c>
      <c r="G337" s="380"/>
      <c r="H337" s="25">
        <f t="shared" ref="H337:L337" si="124">SUM(H338)</f>
        <v>469089.16</v>
      </c>
      <c r="I337" s="25">
        <f t="shared" si="124"/>
        <v>578207.07999999996</v>
      </c>
      <c r="J337" s="129">
        <f t="shared" si="124"/>
        <v>0</v>
      </c>
      <c r="K337" s="129">
        <f t="shared" si="124"/>
        <v>551733.69999999995</v>
      </c>
      <c r="L337" s="140">
        <f t="shared" si="124"/>
        <v>0</v>
      </c>
      <c r="O337" s="88">
        <f t="shared" si="112"/>
        <v>0</v>
      </c>
      <c r="P337" s="123" t="str">
        <f t="shared" si="113"/>
        <v/>
      </c>
      <c r="Q337" s="88">
        <f t="shared" si="114"/>
        <v>578207.07999999996</v>
      </c>
      <c r="R337" s="123">
        <f t="shared" si="115"/>
        <v>0</v>
      </c>
      <c r="S337" s="88">
        <f t="shared" si="117"/>
        <v>551733.69999999995</v>
      </c>
      <c r="T337" s="124">
        <f t="shared" si="119"/>
        <v>0</v>
      </c>
      <c r="U337" s="88">
        <f t="shared" si="120"/>
        <v>26473.380000000005</v>
      </c>
      <c r="V337" s="124">
        <f t="shared" si="121"/>
        <v>0.95421470799008545</v>
      </c>
      <c r="W337" s="157">
        <f t="shared" si="123"/>
        <v>7</v>
      </c>
    </row>
    <row r="338" spans="1:23" ht="11.25" customHeight="1" x14ac:dyDescent="0.25">
      <c r="A338" s="42" t="s">
        <v>1234</v>
      </c>
      <c r="B338" s="282">
        <f t="shared" si="116"/>
        <v>11</v>
      </c>
      <c r="C338" s="20"/>
      <c r="D338" s="20"/>
      <c r="E338" s="20"/>
      <c r="F338" s="373" t="s">
        <v>333</v>
      </c>
      <c r="G338" s="374"/>
      <c r="H338" s="11">
        <v>469089.16</v>
      </c>
      <c r="I338" s="11">
        <v>578207.07999999996</v>
      </c>
      <c r="J338" s="336">
        <v>0</v>
      </c>
      <c r="K338" s="130">
        <v>551733.69999999995</v>
      </c>
      <c r="L338" s="141"/>
      <c r="O338" s="88">
        <f t="shared" si="112"/>
        <v>0</v>
      </c>
      <c r="P338" s="123" t="str">
        <f t="shared" si="113"/>
        <v/>
      </c>
      <c r="Q338" s="88">
        <f t="shared" si="114"/>
        <v>578207.07999999996</v>
      </c>
      <c r="R338" s="123">
        <f t="shared" si="115"/>
        <v>0</v>
      </c>
      <c r="S338" s="88">
        <f t="shared" si="117"/>
        <v>551733.69999999995</v>
      </c>
      <c r="T338" s="124">
        <f t="shared" si="119"/>
        <v>0</v>
      </c>
      <c r="U338" s="88">
        <f t="shared" si="120"/>
        <v>26473.380000000005</v>
      </c>
      <c r="V338" s="124">
        <f t="shared" si="121"/>
        <v>0.95421470799008545</v>
      </c>
      <c r="W338" s="157">
        <f t="shared" si="123"/>
        <v>11</v>
      </c>
    </row>
    <row r="339" spans="1:23" ht="11.25" customHeight="1" x14ac:dyDescent="0.25">
      <c r="A339" s="26" t="s">
        <v>1235</v>
      </c>
      <c r="B339" s="282">
        <f t="shared" si="116"/>
        <v>7</v>
      </c>
      <c r="C339" s="24"/>
      <c r="D339" s="23"/>
      <c r="E339" s="23"/>
      <c r="F339" s="379" t="s">
        <v>334</v>
      </c>
      <c r="G339" s="380"/>
      <c r="H339" s="25">
        <f t="shared" ref="H339:L339" si="125">SUM(H340)</f>
        <v>-10936</v>
      </c>
      <c r="I339" s="25">
        <f t="shared" si="125"/>
        <v>10973</v>
      </c>
      <c r="J339" s="129">
        <f t="shared" si="125"/>
        <v>0</v>
      </c>
      <c r="K339" s="129">
        <f t="shared" si="125"/>
        <v>3235</v>
      </c>
      <c r="L339" s="140">
        <f t="shared" si="125"/>
        <v>0</v>
      </c>
      <c r="O339" s="88">
        <f t="shared" si="112"/>
        <v>0</v>
      </c>
      <c r="P339" s="123" t="str">
        <f t="shared" si="113"/>
        <v/>
      </c>
      <c r="Q339" s="88">
        <f t="shared" si="114"/>
        <v>10973</v>
      </c>
      <c r="R339" s="123">
        <f t="shared" si="115"/>
        <v>0</v>
      </c>
      <c r="S339" s="88">
        <f t="shared" si="117"/>
        <v>3235</v>
      </c>
      <c r="T339" s="124">
        <f t="shared" si="119"/>
        <v>0</v>
      </c>
      <c r="U339" s="88">
        <f t="shared" si="120"/>
        <v>7738</v>
      </c>
      <c r="V339" s="124">
        <f t="shared" si="121"/>
        <v>0.29481454479176161</v>
      </c>
      <c r="W339" s="157">
        <f t="shared" si="123"/>
        <v>7</v>
      </c>
    </row>
    <row r="340" spans="1:23" ht="11.25" customHeight="1" x14ac:dyDescent="0.25">
      <c r="A340" s="42" t="s">
        <v>1236</v>
      </c>
      <c r="B340" s="282">
        <f t="shared" si="116"/>
        <v>11</v>
      </c>
      <c r="C340" s="20"/>
      <c r="D340" s="20"/>
      <c r="E340" s="20"/>
      <c r="F340" s="373" t="s">
        <v>335</v>
      </c>
      <c r="G340" s="374"/>
      <c r="H340" s="11">
        <v>-10936</v>
      </c>
      <c r="I340" s="11">
        <v>10973</v>
      </c>
      <c r="J340" s="336">
        <v>0</v>
      </c>
      <c r="K340" s="130">
        <v>3235</v>
      </c>
      <c r="L340" s="141"/>
      <c r="O340" s="88">
        <f t="shared" si="112"/>
        <v>0</v>
      </c>
      <c r="P340" s="123" t="str">
        <f t="shared" si="113"/>
        <v/>
      </c>
      <c r="Q340" s="88">
        <f t="shared" si="114"/>
        <v>10973</v>
      </c>
      <c r="R340" s="123">
        <f t="shared" si="115"/>
        <v>0</v>
      </c>
      <c r="S340" s="88">
        <f t="shared" si="117"/>
        <v>3235</v>
      </c>
      <c r="T340" s="124">
        <f t="shared" si="119"/>
        <v>0</v>
      </c>
      <c r="U340" s="88">
        <f t="shared" si="120"/>
        <v>7738</v>
      </c>
      <c r="V340" s="124">
        <f t="shared" si="121"/>
        <v>0.29481454479176161</v>
      </c>
      <c r="W340" s="157">
        <f t="shared" si="123"/>
        <v>11</v>
      </c>
    </row>
    <row r="341" spans="1:23" ht="11.25" customHeight="1" x14ac:dyDescent="0.25">
      <c r="A341" s="26" t="s">
        <v>1237</v>
      </c>
      <c r="B341" s="282">
        <f t="shared" si="116"/>
        <v>7</v>
      </c>
      <c r="C341" s="24"/>
      <c r="D341" s="23"/>
      <c r="E341" s="23"/>
      <c r="F341" s="379" t="s">
        <v>336</v>
      </c>
      <c r="G341" s="380"/>
      <c r="H341" s="25">
        <f t="shared" ref="H341:L341" si="126">SUM(H342)</f>
        <v>0</v>
      </c>
      <c r="I341" s="25">
        <f t="shared" si="126"/>
        <v>0</v>
      </c>
      <c r="J341" s="129">
        <f t="shared" si="126"/>
        <v>0</v>
      </c>
      <c r="K341" s="129">
        <f t="shared" si="126"/>
        <v>-7452</v>
      </c>
      <c r="L341" s="140">
        <f t="shared" si="126"/>
        <v>0</v>
      </c>
      <c r="O341" s="88">
        <f t="shared" si="112"/>
        <v>0</v>
      </c>
      <c r="P341" s="123" t="str">
        <f t="shared" si="113"/>
        <v/>
      </c>
      <c r="Q341" s="88">
        <f t="shared" si="114"/>
        <v>0</v>
      </c>
      <c r="R341" s="123" t="str">
        <f t="shared" si="115"/>
        <v/>
      </c>
      <c r="S341" s="88">
        <f t="shared" si="117"/>
        <v>-7452</v>
      </c>
      <c r="T341" s="124">
        <f t="shared" si="119"/>
        <v>0</v>
      </c>
      <c r="U341" s="88">
        <f t="shared" si="120"/>
        <v>7452</v>
      </c>
      <c r="V341" s="124" t="str">
        <f t="shared" si="121"/>
        <v/>
      </c>
      <c r="W341" s="157">
        <f t="shared" si="123"/>
        <v>7</v>
      </c>
    </row>
    <row r="342" spans="1:23" ht="11.25" customHeight="1" x14ac:dyDescent="0.25">
      <c r="A342" s="42" t="s">
        <v>1238</v>
      </c>
      <c r="B342" s="282">
        <f t="shared" si="116"/>
        <v>11</v>
      </c>
      <c r="C342" s="14"/>
      <c r="D342" s="13"/>
      <c r="E342" s="13"/>
      <c r="F342" s="373" t="s">
        <v>337</v>
      </c>
      <c r="G342" s="374"/>
      <c r="H342" s="11">
        <v>0</v>
      </c>
      <c r="I342" s="11">
        <v>0</v>
      </c>
      <c r="J342" s="336">
        <v>0</v>
      </c>
      <c r="K342" s="130">
        <v>-7452</v>
      </c>
      <c r="L342" s="141"/>
      <c r="O342" s="88">
        <f t="shared" si="112"/>
        <v>0</v>
      </c>
      <c r="P342" s="123" t="str">
        <f t="shared" si="113"/>
        <v/>
      </c>
      <c r="Q342" s="88">
        <f t="shared" si="114"/>
        <v>0</v>
      </c>
      <c r="R342" s="123" t="str">
        <f t="shared" si="115"/>
        <v/>
      </c>
      <c r="S342" s="88">
        <f t="shared" si="117"/>
        <v>-7452</v>
      </c>
      <c r="T342" s="124">
        <f t="shared" si="119"/>
        <v>0</v>
      </c>
      <c r="U342" s="88">
        <f t="shared" si="120"/>
        <v>7452</v>
      </c>
      <c r="V342" s="124" t="str">
        <f t="shared" si="121"/>
        <v/>
      </c>
      <c r="W342" s="157">
        <f t="shared" si="123"/>
        <v>11</v>
      </c>
    </row>
    <row r="343" spans="1:23" ht="11.25" customHeight="1" x14ac:dyDescent="0.25">
      <c r="A343" s="26" t="s">
        <v>1239</v>
      </c>
      <c r="B343" s="282">
        <f t="shared" si="116"/>
        <v>7</v>
      </c>
      <c r="C343" s="24"/>
      <c r="D343" s="23"/>
      <c r="E343" s="23"/>
      <c r="F343" s="379" t="s">
        <v>338</v>
      </c>
      <c r="G343" s="380"/>
      <c r="H343" s="25">
        <f t="shared" ref="H343:L343" si="127">SUM(H344)</f>
        <v>-22098666</v>
      </c>
      <c r="I343" s="25">
        <f t="shared" si="127"/>
        <v>-25376259</v>
      </c>
      <c r="J343" s="129">
        <f t="shared" si="127"/>
        <v>-25319560</v>
      </c>
      <c r="K343" s="129">
        <f t="shared" si="127"/>
        <v>-27748045</v>
      </c>
      <c r="L343" s="140">
        <f t="shared" si="127"/>
        <v>-27239515</v>
      </c>
      <c r="O343" s="88">
        <f t="shared" si="112"/>
        <v>1919955</v>
      </c>
      <c r="P343" s="123">
        <f t="shared" si="113"/>
        <v>1.0758289243572954</v>
      </c>
      <c r="Q343" s="88">
        <f t="shared" si="114"/>
        <v>1863256</v>
      </c>
      <c r="R343" s="123">
        <f t="shared" si="115"/>
        <v>1.0734251648361566</v>
      </c>
      <c r="S343" s="88">
        <f t="shared" si="117"/>
        <v>-508530</v>
      </c>
      <c r="T343" s="124">
        <f t="shared" si="119"/>
        <v>0.9816733034705688</v>
      </c>
      <c r="U343" s="88">
        <f t="shared" si="120"/>
        <v>2371786</v>
      </c>
      <c r="V343" s="124">
        <f t="shared" si="121"/>
        <v>1.0934647616892623</v>
      </c>
      <c r="W343" s="157">
        <f t="shared" si="123"/>
        <v>7</v>
      </c>
    </row>
    <row r="344" spans="1:23" ht="11.25" customHeight="1" x14ac:dyDescent="0.25">
      <c r="A344" s="42" t="s">
        <v>1240</v>
      </c>
      <c r="B344" s="282">
        <f t="shared" si="116"/>
        <v>11</v>
      </c>
      <c r="C344" s="20" t="s">
        <v>1432</v>
      </c>
      <c r="D344" s="20" t="s">
        <v>920</v>
      </c>
      <c r="E344" s="20" t="s">
        <v>1244</v>
      </c>
      <c r="F344" s="373" t="s">
        <v>339</v>
      </c>
      <c r="G344" s="374"/>
      <c r="H344" s="11">
        <v>-22098666</v>
      </c>
      <c r="I344" s="11">
        <v>-25376259</v>
      </c>
      <c r="J344" s="336">
        <v>-25319560</v>
      </c>
      <c r="K344" s="344">
        <v>-27748045</v>
      </c>
      <c r="L344" s="145">
        <v>-27239515</v>
      </c>
      <c r="O344" s="88">
        <f t="shared" si="112"/>
        <v>1919955</v>
      </c>
      <c r="P344" s="123">
        <f t="shared" si="113"/>
        <v>1.0758289243572954</v>
      </c>
      <c r="Q344" s="88">
        <f t="shared" si="114"/>
        <v>1863256</v>
      </c>
      <c r="R344" s="123">
        <f t="shared" si="115"/>
        <v>1.0734251648361566</v>
      </c>
      <c r="S344" s="88">
        <f t="shared" si="117"/>
        <v>-508530</v>
      </c>
      <c r="T344" s="124">
        <f t="shared" si="119"/>
        <v>0.9816733034705688</v>
      </c>
      <c r="U344" s="88">
        <f t="shared" si="120"/>
        <v>2371786</v>
      </c>
      <c r="V344" s="124">
        <f t="shared" si="121"/>
        <v>1.0934647616892623</v>
      </c>
      <c r="W344" s="157">
        <f t="shared" si="123"/>
        <v>11</v>
      </c>
    </row>
    <row r="345" spans="1:23" ht="11.25" customHeight="1" x14ac:dyDescent="0.25">
      <c r="A345" s="26" t="s">
        <v>1252</v>
      </c>
      <c r="B345" s="282">
        <f t="shared" si="116"/>
        <v>7</v>
      </c>
      <c r="C345" s="24"/>
      <c r="D345" s="23"/>
      <c r="E345" s="23"/>
      <c r="F345" s="379" t="s">
        <v>340</v>
      </c>
      <c r="G345" s="380"/>
      <c r="H345" s="25">
        <f t="shared" ref="H345:L345" si="128">SUM(H346)</f>
        <v>-51891</v>
      </c>
      <c r="I345" s="25">
        <f t="shared" si="128"/>
        <v>0</v>
      </c>
      <c r="J345" s="129">
        <f t="shared" si="128"/>
        <v>0</v>
      </c>
      <c r="K345" s="129">
        <f t="shared" si="128"/>
        <v>-1918092</v>
      </c>
      <c r="L345" s="140">
        <f t="shared" si="128"/>
        <v>0</v>
      </c>
      <c r="O345" s="88">
        <f t="shared" si="112"/>
        <v>0</v>
      </c>
      <c r="P345" s="123" t="str">
        <f t="shared" si="113"/>
        <v/>
      </c>
      <c r="Q345" s="88">
        <f t="shared" si="114"/>
        <v>0</v>
      </c>
      <c r="R345" s="123" t="str">
        <f t="shared" si="115"/>
        <v/>
      </c>
      <c r="S345" s="88">
        <f t="shared" si="117"/>
        <v>-1918092</v>
      </c>
      <c r="T345" s="124">
        <f t="shared" si="119"/>
        <v>0</v>
      </c>
      <c r="U345" s="88">
        <f t="shared" si="120"/>
        <v>1918092</v>
      </c>
      <c r="V345" s="124" t="str">
        <f t="shared" si="121"/>
        <v/>
      </c>
      <c r="W345" s="157">
        <f t="shared" si="123"/>
        <v>7</v>
      </c>
    </row>
    <row r="346" spans="1:23" ht="11.25" customHeight="1" x14ac:dyDescent="0.25">
      <c r="A346" s="42" t="s">
        <v>1253</v>
      </c>
      <c r="B346" s="282">
        <f t="shared" si="116"/>
        <v>11</v>
      </c>
      <c r="C346" s="20"/>
      <c r="D346" s="20"/>
      <c r="E346" s="20"/>
      <c r="F346" s="373" t="s">
        <v>341</v>
      </c>
      <c r="G346" s="374"/>
      <c r="H346" s="11">
        <v>-51891</v>
      </c>
      <c r="I346" s="11">
        <v>0</v>
      </c>
      <c r="J346" s="336">
        <v>0</v>
      </c>
      <c r="K346" s="130">
        <v>-1918092</v>
      </c>
      <c r="L346" s="141"/>
      <c r="O346" s="88">
        <f t="shared" si="112"/>
        <v>0</v>
      </c>
      <c r="P346" s="123" t="str">
        <f t="shared" si="113"/>
        <v/>
      </c>
      <c r="Q346" s="88">
        <f t="shared" si="114"/>
        <v>0</v>
      </c>
      <c r="R346" s="123" t="str">
        <f t="shared" si="115"/>
        <v/>
      </c>
      <c r="S346" s="88">
        <f t="shared" si="117"/>
        <v>-1918092</v>
      </c>
      <c r="T346" s="124">
        <f t="shared" si="119"/>
        <v>0</v>
      </c>
      <c r="U346" s="88">
        <f t="shared" si="120"/>
        <v>1918092</v>
      </c>
      <c r="V346" s="124" t="str">
        <f t="shared" si="121"/>
        <v/>
      </c>
      <c r="W346" s="157">
        <f t="shared" si="123"/>
        <v>11</v>
      </c>
    </row>
    <row r="347" spans="1:23" ht="11.25" customHeight="1" x14ac:dyDescent="0.25">
      <c r="A347" s="26" t="s">
        <v>1254</v>
      </c>
      <c r="B347" s="282">
        <f t="shared" si="116"/>
        <v>7</v>
      </c>
      <c r="C347" s="24"/>
      <c r="D347" s="23"/>
      <c r="E347" s="23"/>
      <c r="F347" s="379" t="s">
        <v>342</v>
      </c>
      <c r="G347" s="380"/>
      <c r="H347" s="25">
        <f t="shared" ref="H347:L347" si="129">SUM(H348)</f>
        <v>-4156376</v>
      </c>
      <c r="I347" s="25">
        <f t="shared" si="129"/>
        <v>-4835474</v>
      </c>
      <c r="J347" s="129">
        <f t="shared" si="129"/>
        <v>-4744030</v>
      </c>
      <c r="K347" s="129">
        <f t="shared" si="129"/>
        <v>-7357334</v>
      </c>
      <c r="L347" s="140">
        <f t="shared" si="129"/>
        <v>-7360880</v>
      </c>
      <c r="O347" s="88">
        <f t="shared" si="112"/>
        <v>2616850</v>
      </c>
      <c r="P347" s="123">
        <f t="shared" si="113"/>
        <v>1.5516090749847704</v>
      </c>
      <c r="Q347" s="88">
        <f t="shared" si="114"/>
        <v>2525406</v>
      </c>
      <c r="R347" s="123">
        <f t="shared" si="115"/>
        <v>1.5222664830790116</v>
      </c>
      <c r="S347" s="88">
        <f t="shared" si="117"/>
        <v>3546</v>
      </c>
      <c r="T347" s="124">
        <f t="shared" si="119"/>
        <v>1.0004819680607133</v>
      </c>
      <c r="U347" s="88">
        <f t="shared" si="120"/>
        <v>2521860</v>
      </c>
      <c r="V347" s="124">
        <f t="shared" si="121"/>
        <v>1.5215331526960956</v>
      </c>
      <c r="W347" s="157">
        <f t="shared" si="123"/>
        <v>7</v>
      </c>
    </row>
    <row r="348" spans="1:23" ht="11.25" customHeight="1" x14ac:dyDescent="0.25">
      <c r="A348" s="42" t="s">
        <v>1255</v>
      </c>
      <c r="B348" s="282">
        <f t="shared" si="116"/>
        <v>11</v>
      </c>
      <c r="C348" s="20" t="s">
        <v>1432</v>
      </c>
      <c r="D348" s="20" t="s">
        <v>920</v>
      </c>
      <c r="E348" s="20" t="s">
        <v>1244</v>
      </c>
      <c r="F348" s="373" t="s">
        <v>343</v>
      </c>
      <c r="G348" s="374"/>
      <c r="H348" s="85">
        <v>-4156376</v>
      </c>
      <c r="I348" s="85">
        <v>-4835474</v>
      </c>
      <c r="J348" s="336">
        <v>-4744030</v>
      </c>
      <c r="K348" s="344">
        <v>-7357334</v>
      </c>
      <c r="L348" s="145">
        <v>-7360880</v>
      </c>
      <c r="O348" s="88">
        <f t="shared" si="112"/>
        <v>2616850</v>
      </c>
      <c r="P348" s="123">
        <f t="shared" si="113"/>
        <v>1.5516090749847704</v>
      </c>
      <c r="Q348" s="88">
        <f t="shared" si="114"/>
        <v>2525406</v>
      </c>
      <c r="R348" s="123">
        <f t="shared" si="115"/>
        <v>1.5222664830790116</v>
      </c>
      <c r="S348" s="88">
        <f t="shared" si="117"/>
        <v>3546</v>
      </c>
      <c r="T348" s="124">
        <f t="shared" si="119"/>
        <v>1.0004819680607133</v>
      </c>
      <c r="U348" s="88">
        <f t="shared" si="120"/>
        <v>2521860</v>
      </c>
      <c r="V348" s="124">
        <f t="shared" si="121"/>
        <v>1.5215331526960956</v>
      </c>
      <c r="W348" s="157">
        <f t="shared" si="123"/>
        <v>11</v>
      </c>
    </row>
    <row r="349" spans="1:23" ht="11.25" customHeight="1" x14ac:dyDescent="0.25">
      <c r="A349" s="26" t="s">
        <v>1256</v>
      </c>
      <c r="B349" s="282">
        <f t="shared" si="116"/>
        <v>7</v>
      </c>
      <c r="C349" s="24"/>
      <c r="D349" s="23"/>
      <c r="E349" s="23"/>
      <c r="F349" s="379" t="s">
        <v>344</v>
      </c>
      <c r="G349" s="380"/>
      <c r="H349" s="25">
        <f t="shared" ref="H349:L349" si="130">SUM(H350)</f>
        <v>-2425000</v>
      </c>
      <c r="I349" s="25">
        <f t="shared" si="130"/>
        <v>-3813500</v>
      </c>
      <c r="J349" s="129">
        <f t="shared" si="130"/>
        <v>-5325870</v>
      </c>
      <c r="K349" s="129">
        <f t="shared" si="130"/>
        <v>-3735500</v>
      </c>
      <c r="L349" s="140">
        <f t="shared" si="130"/>
        <v>-4505330</v>
      </c>
      <c r="O349" s="88">
        <f t="shared" si="112"/>
        <v>-820540</v>
      </c>
      <c r="P349" s="123">
        <f t="shared" si="113"/>
        <v>0.84593315270556735</v>
      </c>
      <c r="Q349" s="88">
        <f t="shared" si="114"/>
        <v>691830</v>
      </c>
      <c r="R349" s="123">
        <f t="shared" si="115"/>
        <v>1.1814160220270093</v>
      </c>
      <c r="S349" s="88">
        <f t="shared" si="117"/>
        <v>769830</v>
      </c>
      <c r="T349" s="124">
        <f t="shared" si="119"/>
        <v>1.2060848614643287</v>
      </c>
      <c r="U349" s="88">
        <f t="shared" si="120"/>
        <v>-78000</v>
      </c>
      <c r="V349" s="124">
        <f t="shared" si="121"/>
        <v>0.97954634849875444</v>
      </c>
      <c r="W349" s="157">
        <f t="shared" si="123"/>
        <v>7</v>
      </c>
    </row>
    <row r="350" spans="1:23" ht="11.25" customHeight="1" x14ac:dyDescent="0.25">
      <c r="A350" s="42" t="s">
        <v>1257</v>
      </c>
      <c r="B350" s="282">
        <f t="shared" si="116"/>
        <v>11</v>
      </c>
      <c r="C350" s="20" t="s">
        <v>916</v>
      </c>
      <c r="D350" s="20" t="s">
        <v>920</v>
      </c>
      <c r="E350" s="20" t="s">
        <v>917</v>
      </c>
      <c r="F350" s="373" t="s">
        <v>345</v>
      </c>
      <c r="G350" s="374"/>
      <c r="H350" s="11">
        <v>-2425000</v>
      </c>
      <c r="I350" s="11">
        <v>-3813500</v>
      </c>
      <c r="J350" s="336">
        <v>-5325870</v>
      </c>
      <c r="K350" s="344">
        <v>-3735500</v>
      </c>
      <c r="L350" s="145">
        <v>-4505330</v>
      </c>
      <c r="O350" s="88">
        <f t="shared" si="112"/>
        <v>-820540</v>
      </c>
      <c r="P350" s="123">
        <f t="shared" si="113"/>
        <v>0.84593315270556735</v>
      </c>
      <c r="Q350" s="88">
        <f t="shared" si="114"/>
        <v>691830</v>
      </c>
      <c r="R350" s="123">
        <f t="shared" si="115"/>
        <v>1.1814160220270093</v>
      </c>
      <c r="S350" s="88">
        <f t="shared" si="117"/>
        <v>769830</v>
      </c>
      <c r="T350" s="124">
        <f t="shared" si="119"/>
        <v>1.2060848614643287</v>
      </c>
      <c r="U350" s="88">
        <f t="shared" si="120"/>
        <v>-78000</v>
      </c>
      <c r="V350" s="124">
        <f t="shared" si="121"/>
        <v>0.97954634849875444</v>
      </c>
      <c r="W350" s="157">
        <f t="shared" si="123"/>
        <v>11</v>
      </c>
    </row>
    <row r="351" spans="1:23" ht="11.25" customHeight="1" x14ac:dyDescent="0.25">
      <c r="A351" s="26" t="s">
        <v>1258</v>
      </c>
      <c r="B351" s="282">
        <f t="shared" si="116"/>
        <v>7</v>
      </c>
      <c r="C351" s="24"/>
      <c r="D351" s="23"/>
      <c r="E351" s="23"/>
      <c r="F351" s="379" t="s">
        <v>346</v>
      </c>
      <c r="G351" s="380"/>
      <c r="H351" s="25">
        <f t="shared" ref="H351:L351" si="131">SUM(H352:H355)</f>
        <v>-1356420.46</v>
      </c>
      <c r="I351" s="25">
        <f t="shared" si="131"/>
        <v>-1474845.23</v>
      </c>
      <c r="J351" s="129">
        <f t="shared" si="131"/>
        <v>0</v>
      </c>
      <c r="K351" s="129">
        <f t="shared" si="131"/>
        <v>-1311099.3900000001</v>
      </c>
      <c r="L351" s="140">
        <f t="shared" si="131"/>
        <v>0</v>
      </c>
      <c r="O351" s="88">
        <f t="shared" si="112"/>
        <v>0</v>
      </c>
      <c r="P351" s="123" t="str">
        <f t="shared" si="113"/>
        <v/>
      </c>
      <c r="Q351" s="88">
        <f t="shared" si="114"/>
        <v>-1474845.23</v>
      </c>
      <c r="R351" s="123">
        <f t="shared" si="115"/>
        <v>0</v>
      </c>
      <c r="S351" s="88">
        <f t="shared" si="117"/>
        <v>-1311099.3900000001</v>
      </c>
      <c r="T351" s="124">
        <f t="shared" si="119"/>
        <v>0</v>
      </c>
      <c r="U351" s="88">
        <f t="shared" si="120"/>
        <v>-163745.83999999985</v>
      </c>
      <c r="V351" s="124">
        <f t="shared" si="121"/>
        <v>0.88897422138321602</v>
      </c>
      <c r="W351" s="157">
        <f t="shared" si="123"/>
        <v>7</v>
      </c>
    </row>
    <row r="352" spans="1:23" ht="11.25" customHeight="1" x14ac:dyDescent="0.25">
      <c r="A352" s="42" t="s">
        <v>1259</v>
      </c>
      <c r="B352" s="282">
        <f t="shared" si="116"/>
        <v>11</v>
      </c>
      <c r="C352" s="14"/>
      <c r="D352" s="13"/>
      <c r="E352" s="13"/>
      <c r="F352" s="373" t="s">
        <v>347</v>
      </c>
      <c r="G352" s="374"/>
      <c r="H352" s="11">
        <v>-1208888.22</v>
      </c>
      <c r="I352" s="11">
        <v>-1442896.99</v>
      </c>
      <c r="J352" s="336">
        <v>0</v>
      </c>
      <c r="K352" s="130">
        <v>-1269617.8700000001</v>
      </c>
      <c r="L352" s="141"/>
      <c r="O352" s="88">
        <f t="shared" si="112"/>
        <v>0</v>
      </c>
      <c r="P352" s="123" t="str">
        <f t="shared" si="113"/>
        <v/>
      </c>
      <c r="Q352" s="88">
        <f t="shared" si="114"/>
        <v>-1442896.99</v>
      </c>
      <c r="R352" s="123">
        <f t="shared" si="115"/>
        <v>0</v>
      </c>
      <c r="S352" s="88">
        <f t="shared" si="117"/>
        <v>-1269617.8700000001</v>
      </c>
      <c r="T352" s="124">
        <f t="shared" si="119"/>
        <v>0</v>
      </c>
      <c r="U352" s="88">
        <f t="shared" si="120"/>
        <v>-173279.11999999988</v>
      </c>
      <c r="V352" s="124">
        <f t="shared" si="121"/>
        <v>0.87990887693237207</v>
      </c>
      <c r="W352" s="157">
        <f t="shared" si="123"/>
        <v>11</v>
      </c>
    </row>
    <row r="353" spans="1:23" ht="11.25" customHeight="1" x14ac:dyDescent="0.25">
      <c r="A353" s="42" t="s">
        <v>1260</v>
      </c>
      <c r="B353" s="282">
        <f t="shared" si="116"/>
        <v>11</v>
      </c>
      <c r="C353" s="14"/>
      <c r="D353" s="13"/>
      <c r="E353" s="13"/>
      <c r="F353" s="373" t="s">
        <v>348</v>
      </c>
      <c r="G353" s="374"/>
      <c r="H353" s="11">
        <v>-138766.16</v>
      </c>
      <c r="I353" s="11">
        <v>-25434.97</v>
      </c>
      <c r="J353" s="336">
        <v>0</v>
      </c>
      <c r="K353" s="130">
        <v>-22447.54</v>
      </c>
      <c r="L353" s="141"/>
      <c r="O353" s="88">
        <f t="shared" si="112"/>
        <v>0</v>
      </c>
      <c r="P353" s="123" t="str">
        <f t="shared" si="113"/>
        <v/>
      </c>
      <c r="Q353" s="88">
        <f t="shared" si="114"/>
        <v>-25434.97</v>
      </c>
      <c r="R353" s="123">
        <f t="shared" si="115"/>
        <v>0</v>
      </c>
      <c r="S353" s="88">
        <f t="shared" si="117"/>
        <v>-22447.54</v>
      </c>
      <c r="T353" s="124">
        <f t="shared" si="119"/>
        <v>0</v>
      </c>
      <c r="U353" s="88">
        <f t="shared" si="120"/>
        <v>-2987.4300000000003</v>
      </c>
      <c r="V353" s="124">
        <f t="shared" si="121"/>
        <v>0.88254635252174463</v>
      </c>
      <c r="W353" s="157">
        <f t="shared" si="123"/>
        <v>11</v>
      </c>
    </row>
    <row r="354" spans="1:23" ht="11.25" customHeight="1" x14ac:dyDescent="0.25">
      <c r="A354" s="42" t="s">
        <v>1261</v>
      </c>
      <c r="B354" s="282">
        <f t="shared" si="116"/>
        <v>11</v>
      </c>
      <c r="C354" s="14"/>
      <c r="D354" s="13"/>
      <c r="E354" s="13"/>
      <c r="F354" s="373" t="s">
        <v>349</v>
      </c>
      <c r="G354" s="374"/>
      <c r="H354" s="11">
        <v>0</v>
      </c>
      <c r="I354" s="11">
        <v>0</v>
      </c>
      <c r="J354" s="336">
        <v>0</v>
      </c>
      <c r="K354" s="130">
        <v>-9682.7199999999993</v>
      </c>
      <c r="L354" s="141"/>
      <c r="O354" s="88">
        <f t="shared" si="112"/>
        <v>0</v>
      </c>
      <c r="P354" s="123" t="str">
        <f t="shared" si="113"/>
        <v/>
      </c>
      <c r="Q354" s="88">
        <f t="shared" si="114"/>
        <v>0</v>
      </c>
      <c r="R354" s="123" t="str">
        <f t="shared" si="115"/>
        <v/>
      </c>
      <c r="S354" s="88">
        <f t="shared" si="117"/>
        <v>-9682.7199999999993</v>
      </c>
      <c r="T354" s="124">
        <f t="shared" si="119"/>
        <v>0</v>
      </c>
      <c r="U354" s="88">
        <f t="shared" si="120"/>
        <v>9682.7199999999993</v>
      </c>
      <c r="V354" s="124" t="str">
        <f t="shared" si="121"/>
        <v/>
      </c>
      <c r="W354" s="157">
        <f t="shared" si="123"/>
        <v>11</v>
      </c>
    </row>
    <row r="355" spans="1:23" ht="11.25" customHeight="1" x14ac:dyDescent="0.25">
      <c r="A355" s="42" t="s">
        <v>1262</v>
      </c>
      <c r="B355" s="282">
        <f t="shared" si="116"/>
        <v>11</v>
      </c>
      <c r="C355" s="14"/>
      <c r="D355" s="13"/>
      <c r="E355" s="13"/>
      <c r="F355" s="373" t="s">
        <v>350</v>
      </c>
      <c r="G355" s="374"/>
      <c r="H355" s="11">
        <v>-8766.08</v>
      </c>
      <c r="I355" s="11">
        <v>-6513.27</v>
      </c>
      <c r="J355" s="336">
        <v>0</v>
      </c>
      <c r="K355" s="130">
        <v>-9351.26</v>
      </c>
      <c r="L355" s="141"/>
      <c r="O355" s="88">
        <f t="shared" si="112"/>
        <v>0</v>
      </c>
      <c r="P355" s="123" t="str">
        <f t="shared" si="113"/>
        <v/>
      </c>
      <c r="Q355" s="88">
        <f t="shared" si="114"/>
        <v>-6513.27</v>
      </c>
      <c r="R355" s="123">
        <f t="shared" si="115"/>
        <v>0</v>
      </c>
      <c r="S355" s="88">
        <f t="shared" si="117"/>
        <v>-9351.26</v>
      </c>
      <c r="T355" s="124">
        <f t="shared" si="119"/>
        <v>0</v>
      </c>
      <c r="U355" s="88">
        <f t="shared" si="120"/>
        <v>2837.99</v>
      </c>
      <c r="V355" s="124">
        <f t="shared" si="121"/>
        <v>1.4357242982403615</v>
      </c>
      <c r="W355" s="157">
        <f t="shared" si="123"/>
        <v>11</v>
      </c>
    </row>
    <row r="356" spans="1:23" ht="11.25" customHeight="1" x14ac:dyDescent="0.25">
      <c r="A356" s="38" t="s">
        <v>351</v>
      </c>
      <c r="B356" s="282">
        <f t="shared" si="116"/>
        <v>4</v>
      </c>
      <c r="C356" s="38"/>
      <c r="D356" s="22"/>
      <c r="E356" s="22"/>
      <c r="F356" s="385" t="s">
        <v>352</v>
      </c>
      <c r="G356" s="386"/>
      <c r="H356" s="37">
        <v>0</v>
      </c>
      <c r="I356" s="37">
        <v>0</v>
      </c>
      <c r="J356" s="128">
        <v>0</v>
      </c>
      <c r="K356" s="341">
        <v>0</v>
      </c>
      <c r="L356" s="147">
        <f t="shared" ref="L356:L376" si="132">(K356/8)*12</f>
        <v>0</v>
      </c>
      <c r="O356" s="175">
        <f t="shared" si="112"/>
        <v>0</v>
      </c>
      <c r="P356" s="176" t="str">
        <f t="shared" si="113"/>
        <v/>
      </c>
      <c r="Q356" s="175">
        <f t="shared" si="114"/>
        <v>0</v>
      </c>
      <c r="R356" s="176" t="str">
        <f t="shared" si="115"/>
        <v/>
      </c>
      <c r="S356" s="175">
        <f t="shared" si="117"/>
        <v>0</v>
      </c>
      <c r="T356" s="177" t="str">
        <f t="shared" si="119"/>
        <v/>
      </c>
      <c r="U356" s="175">
        <f t="shared" si="120"/>
        <v>0</v>
      </c>
      <c r="V356" s="177" t="str">
        <f t="shared" si="121"/>
        <v/>
      </c>
      <c r="W356" s="157">
        <f t="shared" si="123"/>
        <v>4</v>
      </c>
    </row>
    <row r="357" spans="1:23" ht="11.25" customHeight="1" x14ac:dyDescent="0.25">
      <c r="A357" s="38" t="s">
        <v>353</v>
      </c>
      <c r="B357" s="282">
        <f t="shared" si="116"/>
        <v>4</v>
      </c>
      <c r="C357" s="38"/>
      <c r="D357" s="22"/>
      <c r="E357" s="22"/>
      <c r="F357" s="385" t="s">
        <v>354</v>
      </c>
      <c r="G357" s="386"/>
      <c r="H357" s="37">
        <v>0</v>
      </c>
      <c r="I357" s="37">
        <v>0</v>
      </c>
      <c r="J357" s="128">
        <v>0</v>
      </c>
      <c r="K357" s="341">
        <v>0</v>
      </c>
      <c r="L357" s="147">
        <f t="shared" si="132"/>
        <v>0</v>
      </c>
      <c r="O357" s="175">
        <f t="shared" si="112"/>
        <v>0</v>
      </c>
      <c r="P357" s="176" t="str">
        <f t="shared" si="113"/>
        <v/>
      </c>
      <c r="Q357" s="175">
        <f t="shared" si="114"/>
        <v>0</v>
      </c>
      <c r="R357" s="176" t="str">
        <f t="shared" si="115"/>
        <v/>
      </c>
      <c r="S357" s="175">
        <f t="shared" si="117"/>
        <v>0</v>
      </c>
      <c r="T357" s="177" t="str">
        <f t="shared" si="119"/>
        <v/>
      </c>
      <c r="U357" s="175">
        <f t="shared" si="120"/>
        <v>0</v>
      </c>
      <c r="V357" s="177" t="str">
        <f t="shared" si="121"/>
        <v/>
      </c>
      <c r="W357" s="157">
        <f t="shared" si="123"/>
        <v>4</v>
      </c>
    </row>
    <row r="358" spans="1:23" ht="11.25" customHeight="1" x14ac:dyDescent="0.25">
      <c r="A358" s="38" t="s">
        <v>355</v>
      </c>
      <c r="B358" s="282">
        <f t="shared" si="116"/>
        <v>4</v>
      </c>
      <c r="C358" s="38"/>
      <c r="D358" s="22"/>
      <c r="E358" s="22"/>
      <c r="F358" s="385" t="s">
        <v>356</v>
      </c>
      <c r="G358" s="386"/>
      <c r="H358" s="37">
        <f t="shared" ref="H358:L358" si="133">H359+H361+H363+H365+H367+H369</f>
        <v>-634874411</v>
      </c>
      <c r="I358" s="37">
        <f t="shared" si="133"/>
        <v>-720337380.49000001</v>
      </c>
      <c r="J358" s="128">
        <f t="shared" si="133"/>
        <v>-788099470</v>
      </c>
      <c r="K358" s="341">
        <f t="shared" si="133"/>
        <v>-801138640.26999903</v>
      </c>
      <c r="L358" s="139">
        <f t="shared" si="133"/>
        <v>-847224961.20450294</v>
      </c>
      <c r="O358" s="175">
        <f t="shared" si="112"/>
        <v>59125491.20450294</v>
      </c>
      <c r="P358" s="176">
        <f t="shared" si="113"/>
        <v>1.0750228790339156</v>
      </c>
      <c r="Q358" s="175">
        <f t="shared" si="114"/>
        <v>126887580.71450293</v>
      </c>
      <c r="R358" s="176">
        <f t="shared" si="115"/>
        <v>1.1761502098200003</v>
      </c>
      <c r="S358" s="175">
        <f t="shared" si="117"/>
        <v>46086320.934503913</v>
      </c>
      <c r="T358" s="177">
        <f t="shared" si="119"/>
        <v>1.0575260243582458</v>
      </c>
      <c r="U358" s="175">
        <f t="shared" si="120"/>
        <v>80801259.779999018</v>
      </c>
      <c r="V358" s="177">
        <f t="shared" si="121"/>
        <v>1.1121714101870364</v>
      </c>
      <c r="W358" s="157">
        <f t="shared" si="123"/>
        <v>4</v>
      </c>
    </row>
    <row r="359" spans="1:23" ht="11.25" customHeight="1" x14ac:dyDescent="0.25">
      <c r="A359" s="26" t="s">
        <v>1263</v>
      </c>
      <c r="B359" s="282">
        <f t="shared" si="116"/>
        <v>7</v>
      </c>
      <c r="C359" s="26"/>
      <c r="D359" s="23"/>
      <c r="E359" s="23"/>
      <c r="F359" s="379" t="s">
        <v>357</v>
      </c>
      <c r="G359" s="380"/>
      <c r="H359" s="25">
        <f t="shared" ref="H359:L359" si="134">SUM(H360)</f>
        <v>458723.12</v>
      </c>
      <c r="I359" s="25">
        <f t="shared" si="134"/>
        <v>490579.29</v>
      </c>
      <c r="J359" s="129">
        <f t="shared" si="134"/>
        <v>0</v>
      </c>
      <c r="K359" s="129">
        <f t="shared" si="134"/>
        <v>431304.48</v>
      </c>
      <c r="L359" s="140">
        <f t="shared" si="134"/>
        <v>0</v>
      </c>
      <c r="O359" s="88">
        <f t="shared" si="112"/>
        <v>0</v>
      </c>
      <c r="P359" s="123" t="str">
        <f t="shared" si="113"/>
        <v/>
      </c>
      <c r="Q359" s="88">
        <f t="shared" si="114"/>
        <v>490579.29</v>
      </c>
      <c r="R359" s="123">
        <f t="shared" si="115"/>
        <v>0</v>
      </c>
      <c r="S359" s="88">
        <f t="shared" si="117"/>
        <v>431304.48</v>
      </c>
      <c r="T359" s="124">
        <f t="shared" si="119"/>
        <v>0</v>
      </c>
      <c r="U359" s="88">
        <f t="shared" si="120"/>
        <v>59274.81</v>
      </c>
      <c r="V359" s="124">
        <f t="shared" si="121"/>
        <v>0.87917384364105544</v>
      </c>
      <c r="W359" s="157">
        <f t="shared" si="123"/>
        <v>7</v>
      </c>
    </row>
    <row r="360" spans="1:23" ht="11.25" customHeight="1" x14ac:dyDescent="0.25">
      <c r="A360" s="42" t="s">
        <v>1264</v>
      </c>
      <c r="B360" s="282">
        <f t="shared" si="116"/>
        <v>11</v>
      </c>
      <c r="C360" s="14"/>
      <c r="D360" s="13"/>
      <c r="E360" s="13"/>
      <c r="F360" s="373" t="s">
        <v>358</v>
      </c>
      <c r="G360" s="374"/>
      <c r="H360" s="11">
        <v>458723.12</v>
      </c>
      <c r="I360" s="11">
        <v>490579.29</v>
      </c>
      <c r="J360" s="336">
        <v>0</v>
      </c>
      <c r="K360" s="130">
        <v>431304.48</v>
      </c>
      <c r="L360" s="141"/>
      <c r="O360" s="88">
        <f t="shared" si="112"/>
        <v>0</v>
      </c>
      <c r="P360" s="123" t="str">
        <f t="shared" si="113"/>
        <v/>
      </c>
      <c r="Q360" s="88">
        <f t="shared" si="114"/>
        <v>490579.29</v>
      </c>
      <c r="R360" s="123">
        <f t="shared" si="115"/>
        <v>0</v>
      </c>
      <c r="S360" s="88">
        <f t="shared" si="117"/>
        <v>431304.48</v>
      </c>
      <c r="T360" s="124">
        <f t="shared" si="119"/>
        <v>0</v>
      </c>
      <c r="U360" s="88">
        <f t="shared" si="120"/>
        <v>59274.81</v>
      </c>
      <c r="V360" s="124">
        <f t="shared" si="121"/>
        <v>0.87917384364105544</v>
      </c>
      <c r="W360" s="157">
        <f t="shared" si="123"/>
        <v>11</v>
      </c>
    </row>
    <row r="361" spans="1:23" ht="11.25" customHeight="1" x14ac:dyDescent="0.25">
      <c r="A361" s="26" t="s">
        <v>1265</v>
      </c>
      <c r="B361" s="282">
        <f t="shared" si="116"/>
        <v>7</v>
      </c>
      <c r="C361" s="23"/>
      <c r="D361" s="23"/>
      <c r="E361" s="23"/>
      <c r="F361" s="379" t="s">
        <v>359</v>
      </c>
      <c r="G361" s="380"/>
      <c r="H361" s="25">
        <f t="shared" ref="H361:L361" si="135">SUM(H362)</f>
        <v>-170343141</v>
      </c>
      <c r="I361" s="25">
        <f t="shared" si="135"/>
        <v>-192976084</v>
      </c>
      <c r="J361" s="129">
        <f t="shared" si="135"/>
        <v>-211120160</v>
      </c>
      <c r="K361" s="342">
        <f t="shared" si="135"/>
        <v>-214895577</v>
      </c>
      <c r="L361" s="140">
        <f t="shared" si="135"/>
        <v>-227245848.9576</v>
      </c>
      <c r="O361" s="88">
        <f t="shared" si="112"/>
        <v>16125688.957599998</v>
      </c>
      <c r="P361" s="123">
        <f t="shared" si="113"/>
        <v>1.0763815684755069</v>
      </c>
      <c r="Q361" s="88">
        <f t="shared" si="114"/>
        <v>34269764.957599998</v>
      </c>
      <c r="R361" s="123">
        <f t="shared" si="115"/>
        <v>1.1775855548897967</v>
      </c>
      <c r="S361" s="88">
        <f t="shared" si="117"/>
        <v>12350271.957599998</v>
      </c>
      <c r="T361" s="124">
        <f t="shared" si="119"/>
        <v>1.0574710383992687</v>
      </c>
      <c r="U361" s="88">
        <f t="shared" si="120"/>
        <v>21919493</v>
      </c>
      <c r="V361" s="124">
        <f t="shared" si="121"/>
        <v>1.1135865779098306</v>
      </c>
      <c r="W361" s="157">
        <f t="shared" si="123"/>
        <v>7</v>
      </c>
    </row>
    <row r="362" spans="1:23" ht="11.25" customHeight="1" x14ac:dyDescent="0.25">
      <c r="A362" s="42" t="s">
        <v>1266</v>
      </c>
      <c r="B362" s="282">
        <f t="shared" si="116"/>
        <v>11</v>
      </c>
      <c r="C362" s="20" t="s">
        <v>1432</v>
      </c>
      <c r="D362" s="20" t="s">
        <v>920</v>
      </c>
      <c r="E362" s="20" t="s">
        <v>1244</v>
      </c>
      <c r="F362" s="373" t="s">
        <v>360</v>
      </c>
      <c r="G362" s="374"/>
      <c r="H362" s="11">
        <v>-170343141</v>
      </c>
      <c r="I362" s="11">
        <v>-192976084</v>
      </c>
      <c r="J362" s="336">
        <v>-211120160</v>
      </c>
      <c r="K362" s="344">
        <v>-214895577</v>
      </c>
      <c r="L362" s="142">
        <v>-227245848.9576</v>
      </c>
      <c r="O362" s="88">
        <f t="shared" si="112"/>
        <v>16125688.957599998</v>
      </c>
      <c r="P362" s="123">
        <f t="shared" si="113"/>
        <v>1.0763815684755069</v>
      </c>
      <c r="Q362" s="88">
        <f t="shared" si="114"/>
        <v>34269764.957599998</v>
      </c>
      <c r="R362" s="123">
        <f t="shared" si="115"/>
        <v>1.1775855548897967</v>
      </c>
      <c r="S362" s="88">
        <f t="shared" si="117"/>
        <v>12350271.957599998</v>
      </c>
      <c r="T362" s="124">
        <f t="shared" si="119"/>
        <v>1.0574710383992687</v>
      </c>
      <c r="U362" s="88">
        <f t="shared" si="120"/>
        <v>21919493</v>
      </c>
      <c r="V362" s="124">
        <f t="shared" si="121"/>
        <v>1.1135865779098306</v>
      </c>
      <c r="W362" s="157">
        <f t="shared" si="123"/>
        <v>11</v>
      </c>
    </row>
    <row r="363" spans="1:23" ht="11.25" customHeight="1" x14ac:dyDescent="0.25">
      <c r="A363" s="26" t="s">
        <v>1267</v>
      </c>
      <c r="B363" s="282">
        <f t="shared" si="116"/>
        <v>7</v>
      </c>
      <c r="C363" s="26"/>
      <c r="D363" s="23"/>
      <c r="E363" s="23"/>
      <c r="F363" s="379" t="s">
        <v>361</v>
      </c>
      <c r="G363" s="380"/>
      <c r="H363" s="25">
        <f t="shared" ref="H363:L363" si="136">SUM(H364)</f>
        <v>-464686669</v>
      </c>
      <c r="I363" s="25">
        <f t="shared" si="136"/>
        <v>-527557905.25</v>
      </c>
      <c r="J363" s="129">
        <f t="shared" si="136"/>
        <v>-576979310</v>
      </c>
      <c r="K363" s="342">
        <f t="shared" si="136"/>
        <v>-586429205.99999905</v>
      </c>
      <c r="L363" s="140">
        <f t="shared" si="136"/>
        <v>-619979112.24690294</v>
      </c>
      <c r="O363" s="88">
        <f t="shared" si="112"/>
        <v>42999802.246902943</v>
      </c>
      <c r="P363" s="123">
        <f t="shared" si="113"/>
        <v>1.0745257264890538</v>
      </c>
      <c r="Q363" s="88">
        <f t="shared" si="114"/>
        <v>92421206.996902943</v>
      </c>
      <c r="R363" s="123">
        <f t="shared" si="115"/>
        <v>1.1751868488315158</v>
      </c>
      <c r="S363" s="88">
        <f t="shared" si="117"/>
        <v>33549906.246903896</v>
      </c>
      <c r="T363" s="124">
        <f t="shared" si="119"/>
        <v>1.0572104968573204</v>
      </c>
      <c r="U363" s="88">
        <f t="shared" si="120"/>
        <v>58871300.749999046</v>
      </c>
      <c r="V363" s="124">
        <f t="shared" si="121"/>
        <v>1.1115921118120693</v>
      </c>
      <c r="W363" s="157">
        <f t="shared" si="123"/>
        <v>7</v>
      </c>
    </row>
    <row r="364" spans="1:23" ht="11.25" customHeight="1" x14ac:dyDescent="0.25">
      <c r="A364" s="42" t="s">
        <v>1268</v>
      </c>
      <c r="B364" s="282">
        <f t="shared" si="116"/>
        <v>11</v>
      </c>
      <c r="C364" s="20" t="s">
        <v>1432</v>
      </c>
      <c r="D364" s="20" t="s">
        <v>920</v>
      </c>
      <c r="E364" s="20" t="s">
        <v>1244</v>
      </c>
      <c r="F364" s="373" t="s">
        <v>362</v>
      </c>
      <c r="G364" s="374"/>
      <c r="H364" s="11">
        <v>-464686669</v>
      </c>
      <c r="I364" s="11">
        <v>-527557905.25</v>
      </c>
      <c r="J364" s="336">
        <v>-576979310</v>
      </c>
      <c r="K364" s="344">
        <v>-586429205.99999905</v>
      </c>
      <c r="L364" s="142">
        <v>-619979112.24690294</v>
      </c>
      <c r="O364" s="88">
        <f t="shared" si="112"/>
        <v>42999802.246902943</v>
      </c>
      <c r="P364" s="123">
        <f t="shared" si="113"/>
        <v>1.0745257264890538</v>
      </c>
      <c r="Q364" s="88">
        <f t="shared" si="114"/>
        <v>92421206.996902943</v>
      </c>
      <c r="R364" s="123">
        <f t="shared" si="115"/>
        <v>1.1751868488315158</v>
      </c>
      <c r="S364" s="88">
        <f t="shared" si="117"/>
        <v>33549906.246903896</v>
      </c>
      <c r="T364" s="124">
        <f t="shared" si="119"/>
        <v>1.0572104968573204</v>
      </c>
      <c r="U364" s="88">
        <f t="shared" si="120"/>
        <v>58871300.749999046</v>
      </c>
      <c r="V364" s="124">
        <f t="shared" si="121"/>
        <v>1.1115921118120693</v>
      </c>
      <c r="W364" s="157">
        <f t="shared" si="123"/>
        <v>11</v>
      </c>
    </row>
    <row r="365" spans="1:23" ht="11.25" customHeight="1" x14ac:dyDescent="0.25">
      <c r="A365" s="26" t="s">
        <v>1269</v>
      </c>
      <c r="B365" s="282">
        <f t="shared" si="116"/>
        <v>7</v>
      </c>
      <c r="C365" s="26"/>
      <c r="D365" s="23"/>
      <c r="E365" s="23"/>
      <c r="F365" s="379" t="s">
        <v>363</v>
      </c>
      <c r="G365" s="380"/>
      <c r="H365" s="25">
        <f t="shared" ref="H365:L365" si="137">SUM(H366)</f>
        <v>41132</v>
      </c>
      <c r="I365" s="25">
        <f t="shared" si="137"/>
        <v>52044.51</v>
      </c>
      <c r="J365" s="129">
        <f t="shared" si="137"/>
        <v>0</v>
      </c>
      <c r="K365" s="129">
        <f t="shared" si="137"/>
        <v>49412.33</v>
      </c>
      <c r="L365" s="140">
        <f t="shared" si="137"/>
        <v>0</v>
      </c>
      <c r="O365" s="88">
        <f t="shared" si="112"/>
        <v>0</v>
      </c>
      <c r="P365" s="123" t="str">
        <f t="shared" si="113"/>
        <v/>
      </c>
      <c r="Q365" s="88">
        <f t="shared" si="114"/>
        <v>52044.51</v>
      </c>
      <c r="R365" s="123">
        <f t="shared" si="115"/>
        <v>0</v>
      </c>
      <c r="S365" s="88">
        <f t="shared" si="117"/>
        <v>49412.33</v>
      </c>
      <c r="T365" s="124">
        <f t="shared" si="119"/>
        <v>0</v>
      </c>
      <c r="U365" s="88">
        <f t="shared" si="120"/>
        <v>2632.1800000000003</v>
      </c>
      <c r="V365" s="124">
        <f t="shared" si="121"/>
        <v>0.94942444457638275</v>
      </c>
      <c r="W365" s="157">
        <f t="shared" si="123"/>
        <v>7</v>
      </c>
    </row>
    <row r="366" spans="1:23" ht="11.25" customHeight="1" x14ac:dyDescent="0.25">
      <c r="A366" s="42" t="s">
        <v>1270</v>
      </c>
      <c r="B366" s="282">
        <f t="shared" si="116"/>
        <v>11</v>
      </c>
      <c r="C366" s="20"/>
      <c r="D366" s="20"/>
      <c r="E366" s="20"/>
      <c r="F366" s="373" t="s">
        <v>364</v>
      </c>
      <c r="G366" s="374"/>
      <c r="H366" s="11">
        <v>41132</v>
      </c>
      <c r="I366" s="11">
        <v>52044.51</v>
      </c>
      <c r="J366" s="336">
        <v>0</v>
      </c>
      <c r="K366" s="130">
        <v>49412.33</v>
      </c>
      <c r="L366" s="141"/>
      <c r="O366" s="88">
        <f t="shared" si="112"/>
        <v>0</v>
      </c>
      <c r="P366" s="123" t="str">
        <f t="shared" si="113"/>
        <v/>
      </c>
      <c r="Q366" s="88">
        <f t="shared" si="114"/>
        <v>52044.51</v>
      </c>
      <c r="R366" s="123">
        <f t="shared" si="115"/>
        <v>0</v>
      </c>
      <c r="S366" s="88">
        <f t="shared" si="117"/>
        <v>49412.33</v>
      </c>
      <c r="T366" s="124">
        <f t="shared" si="119"/>
        <v>0</v>
      </c>
      <c r="U366" s="88">
        <f t="shared" si="120"/>
        <v>2632.1800000000003</v>
      </c>
      <c r="V366" s="124">
        <f t="shared" si="121"/>
        <v>0.94942444457638275</v>
      </c>
      <c r="W366" s="157">
        <f t="shared" si="123"/>
        <v>11</v>
      </c>
    </row>
    <row r="367" spans="1:23" ht="11.25" customHeight="1" x14ac:dyDescent="0.25">
      <c r="A367" s="26" t="s">
        <v>1271</v>
      </c>
      <c r="B367" s="282">
        <f t="shared" si="116"/>
        <v>7</v>
      </c>
      <c r="C367" s="26"/>
      <c r="D367" s="23"/>
      <c r="E367" s="23"/>
      <c r="F367" s="379" t="s">
        <v>365</v>
      </c>
      <c r="G367" s="380"/>
      <c r="H367" s="25">
        <f t="shared" ref="H367:L367" si="138">SUM(H368)</f>
        <v>114267</v>
      </c>
      <c r="I367" s="25">
        <f t="shared" si="138"/>
        <v>144564.25</v>
      </c>
      <c r="J367" s="129">
        <f t="shared" si="138"/>
        <v>0</v>
      </c>
      <c r="K367" s="129">
        <f t="shared" si="138"/>
        <v>136730.4</v>
      </c>
      <c r="L367" s="140">
        <f t="shared" si="138"/>
        <v>0</v>
      </c>
      <c r="O367" s="88">
        <f t="shared" si="112"/>
        <v>0</v>
      </c>
      <c r="P367" s="123" t="str">
        <f t="shared" si="113"/>
        <v/>
      </c>
      <c r="Q367" s="88">
        <f t="shared" si="114"/>
        <v>144564.25</v>
      </c>
      <c r="R367" s="123">
        <f t="shared" si="115"/>
        <v>0</v>
      </c>
      <c r="S367" s="88">
        <f t="shared" si="117"/>
        <v>136730.4</v>
      </c>
      <c r="T367" s="124">
        <f t="shared" si="119"/>
        <v>0</v>
      </c>
      <c r="U367" s="88">
        <f t="shared" si="120"/>
        <v>7833.8500000000058</v>
      </c>
      <c r="V367" s="124">
        <f t="shared" si="121"/>
        <v>0.94581059978521653</v>
      </c>
      <c r="W367" s="157">
        <f t="shared" si="123"/>
        <v>7</v>
      </c>
    </row>
    <row r="368" spans="1:23" ht="11.25" customHeight="1" x14ac:dyDescent="0.25">
      <c r="A368" s="42" t="s">
        <v>1272</v>
      </c>
      <c r="B368" s="282">
        <f t="shared" si="116"/>
        <v>11</v>
      </c>
      <c r="C368" s="20"/>
      <c r="D368" s="20"/>
      <c r="E368" s="20"/>
      <c r="F368" s="373" t="s">
        <v>366</v>
      </c>
      <c r="G368" s="374"/>
      <c r="H368" s="11">
        <v>114267</v>
      </c>
      <c r="I368" s="11">
        <v>144564.25</v>
      </c>
      <c r="J368" s="336">
        <v>0</v>
      </c>
      <c r="K368" s="130">
        <v>136730.4</v>
      </c>
      <c r="L368" s="141"/>
      <c r="O368" s="88">
        <f t="shared" si="112"/>
        <v>0</v>
      </c>
      <c r="P368" s="123" t="str">
        <f t="shared" si="113"/>
        <v/>
      </c>
      <c r="Q368" s="88">
        <f t="shared" si="114"/>
        <v>144564.25</v>
      </c>
      <c r="R368" s="123">
        <f t="shared" si="115"/>
        <v>0</v>
      </c>
      <c r="S368" s="88">
        <f t="shared" si="117"/>
        <v>136730.4</v>
      </c>
      <c r="T368" s="124">
        <f t="shared" si="119"/>
        <v>0</v>
      </c>
      <c r="U368" s="88">
        <f t="shared" si="120"/>
        <v>7833.8500000000058</v>
      </c>
      <c r="V368" s="124">
        <f t="shared" si="121"/>
        <v>0.94581059978521653</v>
      </c>
      <c r="W368" s="157">
        <f t="shared" si="123"/>
        <v>11</v>
      </c>
    </row>
    <row r="369" spans="1:23" ht="11.25" customHeight="1" x14ac:dyDescent="0.25">
      <c r="A369" s="26" t="s">
        <v>1273</v>
      </c>
      <c r="B369" s="282">
        <f t="shared" si="116"/>
        <v>7</v>
      </c>
      <c r="C369" s="26"/>
      <c r="D369" s="23"/>
      <c r="E369" s="23"/>
      <c r="F369" s="379" t="s">
        <v>367</v>
      </c>
      <c r="G369" s="380"/>
      <c r="H369" s="25">
        <f t="shared" ref="H369:L369" si="139">SUM(H370:H371)</f>
        <v>-458723.12</v>
      </c>
      <c r="I369" s="25">
        <f t="shared" si="139"/>
        <v>-490579.29</v>
      </c>
      <c r="J369" s="129">
        <f t="shared" si="139"/>
        <v>0</v>
      </c>
      <c r="K369" s="129">
        <f t="shared" si="139"/>
        <v>-431304.48000000004</v>
      </c>
      <c r="L369" s="140">
        <f t="shared" si="139"/>
        <v>0</v>
      </c>
      <c r="O369" s="88">
        <f t="shared" si="112"/>
        <v>0</v>
      </c>
      <c r="P369" s="123" t="str">
        <f t="shared" si="113"/>
        <v/>
      </c>
      <c r="Q369" s="88">
        <f t="shared" si="114"/>
        <v>-490579.29</v>
      </c>
      <c r="R369" s="123">
        <f t="shared" si="115"/>
        <v>0</v>
      </c>
      <c r="S369" s="88">
        <f t="shared" si="117"/>
        <v>-431304.48000000004</v>
      </c>
      <c r="T369" s="124">
        <f t="shared" si="119"/>
        <v>0</v>
      </c>
      <c r="U369" s="88">
        <f t="shared" si="120"/>
        <v>-59274.809999999939</v>
      </c>
      <c r="V369" s="124">
        <f t="shared" si="121"/>
        <v>0.87917384364105555</v>
      </c>
      <c r="W369" s="157">
        <f t="shared" si="123"/>
        <v>7</v>
      </c>
    </row>
    <row r="370" spans="1:23" ht="11.25" customHeight="1" x14ac:dyDescent="0.25">
      <c r="A370" s="42" t="s">
        <v>1274</v>
      </c>
      <c r="B370" s="282">
        <f t="shared" si="116"/>
        <v>11</v>
      </c>
      <c r="C370" s="14"/>
      <c r="D370" s="13"/>
      <c r="E370" s="13"/>
      <c r="F370" s="373" t="s">
        <v>368</v>
      </c>
      <c r="G370" s="374"/>
      <c r="H370" s="11">
        <v>-121426.77</v>
      </c>
      <c r="I370" s="11">
        <v>-129860.17</v>
      </c>
      <c r="J370" s="336">
        <v>0</v>
      </c>
      <c r="K370" s="130">
        <v>-114496.58</v>
      </c>
      <c r="L370" s="141"/>
      <c r="O370" s="88">
        <f t="shared" si="112"/>
        <v>0</v>
      </c>
      <c r="P370" s="123" t="str">
        <f t="shared" si="113"/>
        <v/>
      </c>
      <c r="Q370" s="88">
        <f t="shared" si="114"/>
        <v>-129860.17</v>
      </c>
      <c r="R370" s="123">
        <f t="shared" si="115"/>
        <v>0</v>
      </c>
      <c r="S370" s="88">
        <f t="shared" si="117"/>
        <v>-114496.58</v>
      </c>
      <c r="T370" s="124">
        <f t="shared" si="119"/>
        <v>0</v>
      </c>
      <c r="U370" s="88">
        <f t="shared" si="120"/>
        <v>-15363.589999999997</v>
      </c>
      <c r="V370" s="124">
        <f t="shared" si="121"/>
        <v>0.88169128378624484</v>
      </c>
      <c r="W370" s="157">
        <f t="shared" si="123"/>
        <v>11</v>
      </c>
    </row>
    <row r="371" spans="1:23" ht="11.25" customHeight="1" x14ac:dyDescent="0.25">
      <c r="A371" s="42" t="s">
        <v>1275</v>
      </c>
      <c r="B371" s="282">
        <f t="shared" si="116"/>
        <v>11</v>
      </c>
      <c r="C371" s="14"/>
      <c r="D371" s="13"/>
      <c r="E371" s="13"/>
      <c r="F371" s="373" t="s">
        <v>369</v>
      </c>
      <c r="G371" s="374"/>
      <c r="H371" s="11">
        <v>-337296.35</v>
      </c>
      <c r="I371" s="11">
        <v>-360719.12</v>
      </c>
      <c r="J371" s="336">
        <v>0</v>
      </c>
      <c r="K371" s="130">
        <v>-316807.90000000002</v>
      </c>
      <c r="L371" s="141"/>
      <c r="O371" s="88">
        <f t="shared" si="112"/>
        <v>0</v>
      </c>
      <c r="P371" s="123" t="str">
        <f t="shared" si="113"/>
        <v/>
      </c>
      <c r="Q371" s="88">
        <f t="shared" si="114"/>
        <v>-360719.12</v>
      </c>
      <c r="R371" s="123">
        <f t="shared" si="115"/>
        <v>0</v>
      </c>
      <c r="S371" s="88">
        <f t="shared" si="117"/>
        <v>-316807.90000000002</v>
      </c>
      <c r="T371" s="124">
        <f t="shared" si="119"/>
        <v>0</v>
      </c>
      <c r="U371" s="88">
        <f t="shared" si="120"/>
        <v>-43911.219999999972</v>
      </c>
      <c r="V371" s="124">
        <f t="shared" si="121"/>
        <v>0.87826755620827646</v>
      </c>
      <c r="W371" s="157">
        <f t="shared" si="123"/>
        <v>11</v>
      </c>
    </row>
    <row r="372" spans="1:23" ht="11.25" customHeight="1" x14ac:dyDescent="0.25">
      <c r="A372" s="38" t="s">
        <v>370</v>
      </c>
      <c r="B372" s="282">
        <f t="shared" si="116"/>
        <v>4</v>
      </c>
      <c r="C372" s="38"/>
      <c r="D372" s="22"/>
      <c r="E372" s="22"/>
      <c r="F372" s="385" t="s">
        <v>1951</v>
      </c>
      <c r="G372" s="386"/>
      <c r="H372" s="37">
        <f t="shared" ref="H372:L372" si="140">H373</f>
        <v>-7943191</v>
      </c>
      <c r="I372" s="37">
        <f t="shared" si="140"/>
        <v>-8999569</v>
      </c>
      <c r="J372" s="128">
        <f t="shared" si="140"/>
        <v>-9732146.6760000102</v>
      </c>
      <c r="K372" s="341">
        <f t="shared" si="140"/>
        <v>-7273476</v>
      </c>
      <c r="L372" s="139">
        <f t="shared" si="140"/>
        <v>-10473850.241800001</v>
      </c>
      <c r="O372" s="175">
        <f t="shared" si="112"/>
        <v>741703.56579999067</v>
      </c>
      <c r="P372" s="176">
        <f t="shared" si="113"/>
        <v>1.07621171263572</v>
      </c>
      <c r="Q372" s="175">
        <f t="shared" si="114"/>
        <v>1474281.2418000009</v>
      </c>
      <c r="R372" s="176">
        <f t="shared" si="115"/>
        <v>1.163816871874642</v>
      </c>
      <c r="S372" s="175">
        <f t="shared" si="117"/>
        <v>3200374.2418000009</v>
      </c>
      <c r="T372" s="177">
        <f t="shared" si="119"/>
        <v>1.440006159613368</v>
      </c>
      <c r="U372" s="175">
        <f t="shared" si="120"/>
        <v>-1726093</v>
      </c>
      <c r="V372" s="177">
        <f t="shared" si="121"/>
        <v>0.80820270392948823</v>
      </c>
      <c r="W372" s="157">
        <f t="shared" si="123"/>
        <v>4</v>
      </c>
    </row>
    <row r="373" spans="1:23" ht="11.25" customHeight="1" x14ac:dyDescent="0.25">
      <c r="A373" s="26" t="s">
        <v>1276</v>
      </c>
      <c r="B373" s="282">
        <f t="shared" si="116"/>
        <v>7</v>
      </c>
      <c r="C373" s="26"/>
      <c r="D373" s="23"/>
      <c r="E373" s="23"/>
      <c r="F373" s="379" t="s">
        <v>372</v>
      </c>
      <c r="G373" s="380"/>
      <c r="H373" s="25">
        <f t="shared" ref="H373:L373" si="141">SUM(H374:H375)</f>
        <v>-7943191</v>
      </c>
      <c r="I373" s="25">
        <f t="shared" si="141"/>
        <v>-8999569</v>
      </c>
      <c r="J373" s="129">
        <f t="shared" si="141"/>
        <v>-9732146.6760000102</v>
      </c>
      <c r="K373" s="129">
        <f t="shared" si="141"/>
        <v>-7273476</v>
      </c>
      <c r="L373" s="140">
        <f t="shared" si="141"/>
        <v>-10473850.241800001</v>
      </c>
      <c r="O373" s="88">
        <f t="shared" si="112"/>
        <v>741703.56579999067</v>
      </c>
      <c r="P373" s="123">
        <f t="shared" si="113"/>
        <v>1.07621171263572</v>
      </c>
      <c r="Q373" s="88">
        <f t="shared" si="114"/>
        <v>1474281.2418000009</v>
      </c>
      <c r="R373" s="123">
        <f t="shared" si="115"/>
        <v>1.163816871874642</v>
      </c>
      <c r="S373" s="88">
        <f t="shared" si="117"/>
        <v>3200374.2418000009</v>
      </c>
      <c r="T373" s="124">
        <f t="shared" si="119"/>
        <v>1.440006159613368</v>
      </c>
      <c r="U373" s="88">
        <f t="shared" si="120"/>
        <v>-1726093</v>
      </c>
      <c r="V373" s="124">
        <f t="shared" si="121"/>
        <v>0.80820270392948823</v>
      </c>
      <c r="W373" s="157">
        <f t="shared" si="123"/>
        <v>7</v>
      </c>
    </row>
    <row r="374" spans="1:23" ht="11.25" customHeight="1" x14ac:dyDescent="0.25">
      <c r="A374" s="42" t="s">
        <v>1277</v>
      </c>
      <c r="B374" s="282">
        <f t="shared" si="116"/>
        <v>11</v>
      </c>
      <c r="C374" s="20" t="s">
        <v>1432</v>
      </c>
      <c r="D374" s="20" t="s">
        <v>920</v>
      </c>
      <c r="E374" s="20" t="s">
        <v>1244</v>
      </c>
      <c r="F374" s="373" t="s">
        <v>373</v>
      </c>
      <c r="G374" s="374"/>
      <c r="H374" s="11">
        <v>-7943191</v>
      </c>
      <c r="I374" s="11">
        <v>-8999569</v>
      </c>
      <c r="J374" s="336">
        <v>-9732146.6760000102</v>
      </c>
      <c r="K374" s="344">
        <v>-7273476</v>
      </c>
      <c r="L374" s="142">
        <v>-10473850.241800001</v>
      </c>
      <c r="O374" s="88">
        <f t="shared" si="112"/>
        <v>741703.56579999067</v>
      </c>
      <c r="P374" s="123">
        <f t="shared" si="113"/>
        <v>1.07621171263572</v>
      </c>
      <c r="Q374" s="88">
        <f t="shared" si="114"/>
        <v>1474281.2418000009</v>
      </c>
      <c r="R374" s="123">
        <f t="shared" si="115"/>
        <v>1.163816871874642</v>
      </c>
      <c r="S374" s="88">
        <f t="shared" si="117"/>
        <v>3200374.2418000009</v>
      </c>
      <c r="T374" s="124">
        <f t="shared" si="119"/>
        <v>1.440006159613368</v>
      </c>
      <c r="U374" s="88">
        <f t="shared" si="120"/>
        <v>-1726093</v>
      </c>
      <c r="V374" s="124">
        <f t="shared" si="121"/>
        <v>0.80820270392948823</v>
      </c>
      <c r="W374" s="157">
        <f t="shared" si="123"/>
        <v>11</v>
      </c>
    </row>
    <row r="375" spans="1:23" ht="11.25" customHeight="1" x14ac:dyDescent="0.25">
      <c r="A375" s="42" t="s">
        <v>1662</v>
      </c>
      <c r="B375" s="282">
        <f t="shared" si="116"/>
        <v>11</v>
      </c>
      <c r="C375" s="21" t="s">
        <v>1432</v>
      </c>
      <c r="D375" s="21" t="s">
        <v>920</v>
      </c>
      <c r="E375" s="21" t="s">
        <v>1245</v>
      </c>
      <c r="F375" s="387" t="s">
        <v>1663</v>
      </c>
      <c r="G375" s="388"/>
      <c r="H375" s="19"/>
      <c r="I375" s="19"/>
      <c r="J375" s="338"/>
      <c r="K375" s="131">
        <v>0</v>
      </c>
      <c r="L375" s="173"/>
      <c r="O375" s="88">
        <f t="shared" si="112"/>
        <v>0</v>
      </c>
      <c r="P375" s="123" t="str">
        <f t="shared" si="113"/>
        <v/>
      </c>
      <c r="Q375" s="88">
        <f t="shared" si="114"/>
        <v>0</v>
      </c>
      <c r="R375" s="123" t="str">
        <f t="shared" si="115"/>
        <v/>
      </c>
      <c r="S375" s="88">
        <f t="shared" si="117"/>
        <v>0</v>
      </c>
      <c r="T375" s="124" t="str">
        <f t="shared" si="119"/>
        <v/>
      </c>
      <c r="U375" s="88">
        <f t="shared" si="120"/>
        <v>0</v>
      </c>
      <c r="V375" s="124" t="str">
        <f t="shared" si="121"/>
        <v/>
      </c>
      <c r="W375" s="157">
        <f t="shared" si="123"/>
        <v>11</v>
      </c>
    </row>
    <row r="376" spans="1:23" ht="11.25" customHeight="1" x14ac:dyDescent="0.25">
      <c r="A376" s="38" t="s">
        <v>374</v>
      </c>
      <c r="B376" s="282">
        <f t="shared" si="116"/>
        <v>4</v>
      </c>
      <c r="C376" s="36"/>
      <c r="D376" s="22"/>
      <c r="E376" s="22"/>
      <c r="F376" s="385" t="s">
        <v>375</v>
      </c>
      <c r="G376" s="386"/>
      <c r="H376" s="37">
        <v>0</v>
      </c>
      <c r="I376" s="37">
        <v>0</v>
      </c>
      <c r="J376" s="128">
        <v>0</v>
      </c>
      <c r="K376" s="132">
        <v>0</v>
      </c>
      <c r="L376" s="147">
        <f t="shared" si="132"/>
        <v>0</v>
      </c>
      <c r="O376" s="175">
        <f t="shared" si="112"/>
        <v>0</v>
      </c>
      <c r="P376" s="176" t="str">
        <f t="shared" si="113"/>
        <v/>
      </c>
      <c r="Q376" s="175">
        <f t="shared" si="114"/>
        <v>0</v>
      </c>
      <c r="R376" s="176" t="str">
        <f t="shared" si="115"/>
        <v/>
      </c>
      <c r="S376" s="175">
        <f t="shared" si="117"/>
        <v>0</v>
      </c>
      <c r="T376" s="177" t="str">
        <f t="shared" si="119"/>
        <v/>
      </c>
      <c r="U376" s="175">
        <f t="shared" si="120"/>
        <v>0</v>
      </c>
      <c r="V376" s="177" t="str">
        <f t="shared" si="121"/>
        <v/>
      </c>
      <c r="W376" s="157">
        <f t="shared" si="123"/>
        <v>4</v>
      </c>
    </row>
    <row r="377" spans="1:23" ht="11.25" customHeight="1" x14ac:dyDescent="0.25">
      <c r="A377" s="38" t="s">
        <v>376</v>
      </c>
      <c r="B377" s="282">
        <f t="shared" si="116"/>
        <v>4</v>
      </c>
      <c r="C377" s="36"/>
      <c r="D377" s="22"/>
      <c r="E377" s="22"/>
      <c r="F377" s="385" t="s">
        <v>1950</v>
      </c>
      <c r="G377" s="386"/>
      <c r="H377" s="37">
        <f t="shared" ref="H377:L377" si="142">H378+H380+H382</f>
        <v>-37491992.759999998</v>
      </c>
      <c r="I377" s="37">
        <f t="shared" si="142"/>
        <v>-42437534.490000002</v>
      </c>
      <c r="J377" s="128">
        <f t="shared" si="142"/>
        <v>-47051450</v>
      </c>
      <c r="K377" s="341">
        <f t="shared" si="142"/>
        <v>-47335201.5200001</v>
      </c>
      <c r="L377" s="139">
        <f t="shared" si="142"/>
        <v>-50657591.7744001</v>
      </c>
      <c r="O377" s="175">
        <f t="shared" si="112"/>
        <v>3606141.7744001001</v>
      </c>
      <c r="P377" s="176">
        <f t="shared" si="113"/>
        <v>1.0766425216311102</v>
      </c>
      <c r="Q377" s="175">
        <f t="shared" si="114"/>
        <v>8220057.284400098</v>
      </c>
      <c r="R377" s="176">
        <f t="shared" si="115"/>
        <v>1.1936978050960307</v>
      </c>
      <c r="S377" s="175">
        <f t="shared" si="117"/>
        <v>3322390.2544</v>
      </c>
      <c r="T377" s="177">
        <f t="shared" si="119"/>
        <v>1.0701885731488061</v>
      </c>
      <c r="U377" s="175">
        <f t="shared" si="120"/>
        <v>4897667.030000098</v>
      </c>
      <c r="V377" s="177">
        <f t="shared" si="121"/>
        <v>1.1154088494739058</v>
      </c>
      <c r="W377" s="157">
        <f t="shared" si="123"/>
        <v>4</v>
      </c>
    </row>
    <row r="378" spans="1:23" ht="11.25" customHeight="1" x14ac:dyDescent="0.25">
      <c r="A378" s="26" t="s">
        <v>1278</v>
      </c>
      <c r="B378" s="282">
        <f t="shared" si="116"/>
        <v>7</v>
      </c>
      <c r="C378" s="26"/>
      <c r="D378" s="23"/>
      <c r="E378" s="23"/>
      <c r="F378" s="379" t="s">
        <v>378</v>
      </c>
      <c r="G378" s="380"/>
      <c r="H378" s="25">
        <f t="shared" ref="H378:L378" si="143">SUM(H379)</f>
        <v>27082.23</v>
      </c>
      <c r="I378" s="25">
        <f t="shared" si="143"/>
        <v>28780.69</v>
      </c>
      <c r="J378" s="129">
        <f t="shared" si="143"/>
        <v>0</v>
      </c>
      <c r="K378" s="129">
        <f t="shared" si="143"/>
        <v>25439.08</v>
      </c>
      <c r="L378" s="140">
        <f t="shared" si="143"/>
        <v>0</v>
      </c>
      <c r="O378" s="88">
        <f t="shared" si="112"/>
        <v>0</v>
      </c>
      <c r="P378" s="123" t="str">
        <f t="shared" si="113"/>
        <v/>
      </c>
      <c r="Q378" s="88">
        <f t="shared" si="114"/>
        <v>28780.69</v>
      </c>
      <c r="R378" s="123">
        <f t="shared" si="115"/>
        <v>0</v>
      </c>
      <c r="S378" s="88">
        <f t="shared" si="117"/>
        <v>25439.08</v>
      </c>
      <c r="T378" s="124">
        <f t="shared" si="119"/>
        <v>0</v>
      </c>
      <c r="U378" s="88">
        <f t="shared" si="120"/>
        <v>3341.6099999999969</v>
      </c>
      <c r="V378" s="124">
        <f t="shared" si="121"/>
        <v>0.88389402755806068</v>
      </c>
      <c r="W378" s="157">
        <f t="shared" si="123"/>
        <v>7</v>
      </c>
    </row>
    <row r="379" spans="1:23" ht="11.25" customHeight="1" x14ac:dyDescent="0.25">
      <c r="A379" s="42" t="s">
        <v>1279</v>
      </c>
      <c r="B379" s="282">
        <f t="shared" si="116"/>
        <v>11</v>
      </c>
      <c r="C379" s="14"/>
      <c r="D379" s="13"/>
      <c r="E379" s="13"/>
      <c r="F379" s="373" t="s">
        <v>379</v>
      </c>
      <c r="G379" s="374"/>
      <c r="H379" s="11">
        <v>27082.23</v>
      </c>
      <c r="I379" s="11">
        <v>28780.69</v>
      </c>
      <c r="J379" s="336">
        <v>0</v>
      </c>
      <c r="K379" s="130">
        <v>25439.08</v>
      </c>
      <c r="L379" s="141"/>
      <c r="O379" s="88">
        <f t="shared" si="112"/>
        <v>0</v>
      </c>
      <c r="P379" s="123" t="str">
        <f t="shared" si="113"/>
        <v/>
      </c>
      <c r="Q379" s="88">
        <f t="shared" si="114"/>
        <v>28780.69</v>
      </c>
      <c r="R379" s="123">
        <f t="shared" si="115"/>
        <v>0</v>
      </c>
      <c r="S379" s="88">
        <f t="shared" si="117"/>
        <v>25439.08</v>
      </c>
      <c r="T379" s="124">
        <f t="shared" si="119"/>
        <v>0</v>
      </c>
      <c r="U379" s="88">
        <f t="shared" si="120"/>
        <v>3341.6099999999969</v>
      </c>
      <c r="V379" s="124">
        <f t="shared" si="121"/>
        <v>0.88389402755806068</v>
      </c>
      <c r="W379" s="157">
        <f t="shared" si="123"/>
        <v>11</v>
      </c>
    </row>
    <row r="380" spans="1:23" ht="11.25" customHeight="1" x14ac:dyDescent="0.25">
      <c r="A380" s="26" t="s">
        <v>1280</v>
      </c>
      <c r="B380" s="282">
        <f t="shared" si="116"/>
        <v>7</v>
      </c>
      <c r="C380" s="26"/>
      <c r="D380" s="23"/>
      <c r="E380" s="23"/>
      <c r="F380" s="379" t="s">
        <v>380</v>
      </c>
      <c r="G380" s="380"/>
      <c r="H380" s="25">
        <f t="shared" ref="H380:L380" si="144">SUM(H381)</f>
        <v>-37491992.759999998</v>
      </c>
      <c r="I380" s="25">
        <f t="shared" si="144"/>
        <v>-42437534.490000002</v>
      </c>
      <c r="J380" s="129">
        <f t="shared" si="144"/>
        <v>-47051450</v>
      </c>
      <c r="K380" s="342">
        <f t="shared" si="144"/>
        <v>-47335201.5200001</v>
      </c>
      <c r="L380" s="140">
        <f t="shared" si="144"/>
        <v>-50657591.7744001</v>
      </c>
      <c r="O380" s="88">
        <f t="shared" si="112"/>
        <v>3606141.7744001001</v>
      </c>
      <c r="P380" s="123">
        <f t="shared" si="113"/>
        <v>1.0766425216311102</v>
      </c>
      <c r="Q380" s="88">
        <f t="shared" si="114"/>
        <v>8220057.284400098</v>
      </c>
      <c r="R380" s="123">
        <f t="shared" si="115"/>
        <v>1.1936978050960307</v>
      </c>
      <c r="S380" s="88">
        <f t="shared" si="117"/>
        <v>3322390.2544</v>
      </c>
      <c r="T380" s="124">
        <f t="shared" si="119"/>
        <v>1.0701885731488061</v>
      </c>
      <c r="U380" s="88">
        <f t="shared" si="120"/>
        <v>4897667.030000098</v>
      </c>
      <c r="V380" s="124">
        <f t="shared" si="121"/>
        <v>1.1154088494739058</v>
      </c>
      <c r="W380" s="157">
        <f t="shared" si="123"/>
        <v>7</v>
      </c>
    </row>
    <row r="381" spans="1:23" ht="11.25" customHeight="1" x14ac:dyDescent="0.25">
      <c r="A381" s="42" t="s">
        <v>1281</v>
      </c>
      <c r="B381" s="282">
        <f t="shared" si="116"/>
        <v>11</v>
      </c>
      <c r="C381" s="20" t="s">
        <v>1432</v>
      </c>
      <c r="D381" s="20" t="s">
        <v>920</v>
      </c>
      <c r="E381" s="20" t="s">
        <v>1244</v>
      </c>
      <c r="F381" s="373" t="s">
        <v>381</v>
      </c>
      <c r="G381" s="374"/>
      <c r="H381" s="11">
        <v>-37491992.759999998</v>
      </c>
      <c r="I381" s="11">
        <v>-42437534.490000002</v>
      </c>
      <c r="J381" s="336">
        <v>-47051450</v>
      </c>
      <c r="K381" s="344">
        <v>-47335201.5200001</v>
      </c>
      <c r="L381" s="142">
        <v>-50657591.7744001</v>
      </c>
      <c r="O381" s="88">
        <f t="shared" si="112"/>
        <v>3606141.7744001001</v>
      </c>
      <c r="P381" s="123">
        <f t="shared" si="113"/>
        <v>1.0766425216311102</v>
      </c>
      <c r="Q381" s="88">
        <f t="shared" si="114"/>
        <v>8220057.284400098</v>
      </c>
      <c r="R381" s="123">
        <f t="shared" si="115"/>
        <v>1.1936978050960307</v>
      </c>
      <c r="S381" s="88">
        <f t="shared" si="117"/>
        <v>3322390.2544</v>
      </c>
      <c r="T381" s="124">
        <f t="shared" si="119"/>
        <v>1.0701885731488061</v>
      </c>
      <c r="U381" s="88">
        <f t="shared" si="120"/>
        <v>4897667.030000098</v>
      </c>
      <c r="V381" s="124">
        <f t="shared" si="121"/>
        <v>1.1154088494739058</v>
      </c>
      <c r="W381" s="157">
        <f t="shared" si="123"/>
        <v>11</v>
      </c>
    </row>
    <row r="382" spans="1:23" ht="11.25" customHeight="1" x14ac:dyDescent="0.25">
      <c r="A382" s="26" t="s">
        <v>1282</v>
      </c>
      <c r="B382" s="282">
        <f t="shared" si="116"/>
        <v>7</v>
      </c>
      <c r="C382" s="26"/>
      <c r="D382" s="23"/>
      <c r="E382" s="23"/>
      <c r="F382" s="379" t="s">
        <v>382</v>
      </c>
      <c r="G382" s="380"/>
      <c r="H382" s="25">
        <f t="shared" ref="H382:L382" si="145">SUM(H383)</f>
        <v>-27082.23</v>
      </c>
      <c r="I382" s="25">
        <f t="shared" si="145"/>
        <v>-28780.69</v>
      </c>
      <c r="J382" s="129">
        <f t="shared" si="145"/>
        <v>0</v>
      </c>
      <c r="K382" s="129">
        <f t="shared" si="145"/>
        <v>-25439.08</v>
      </c>
      <c r="L382" s="140">
        <f t="shared" si="145"/>
        <v>0</v>
      </c>
      <c r="O382" s="88">
        <f t="shared" si="112"/>
        <v>0</v>
      </c>
      <c r="P382" s="123" t="str">
        <f t="shared" si="113"/>
        <v/>
      </c>
      <c r="Q382" s="88">
        <f t="shared" si="114"/>
        <v>-28780.69</v>
      </c>
      <c r="R382" s="123">
        <f t="shared" si="115"/>
        <v>0</v>
      </c>
      <c r="S382" s="88">
        <f t="shared" si="117"/>
        <v>-25439.08</v>
      </c>
      <c r="T382" s="124">
        <f t="shared" si="119"/>
        <v>0</v>
      </c>
      <c r="U382" s="88">
        <f t="shared" si="120"/>
        <v>-3341.6099999999969</v>
      </c>
      <c r="V382" s="124">
        <f t="shared" si="121"/>
        <v>0.88389402755806068</v>
      </c>
      <c r="W382" s="157">
        <f t="shared" si="123"/>
        <v>7</v>
      </c>
    </row>
    <row r="383" spans="1:23" ht="11.25" customHeight="1" x14ac:dyDescent="0.25">
      <c r="A383" s="42" t="s">
        <v>1283</v>
      </c>
      <c r="B383" s="282">
        <f t="shared" si="116"/>
        <v>11</v>
      </c>
      <c r="C383" s="14"/>
      <c r="D383" s="13"/>
      <c r="E383" s="13"/>
      <c r="F383" s="373" t="s">
        <v>383</v>
      </c>
      <c r="G383" s="374"/>
      <c r="H383" s="11">
        <v>-27082.23</v>
      </c>
      <c r="I383" s="11">
        <v>-28780.69</v>
      </c>
      <c r="J383" s="336">
        <v>0</v>
      </c>
      <c r="K383" s="130">
        <v>-25439.08</v>
      </c>
      <c r="L383" s="141"/>
      <c r="O383" s="88">
        <f t="shared" si="112"/>
        <v>0</v>
      </c>
      <c r="P383" s="123" t="str">
        <f t="shared" si="113"/>
        <v/>
      </c>
      <c r="Q383" s="88">
        <f t="shared" si="114"/>
        <v>-28780.69</v>
      </c>
      <c r="R383" s="123">
        <f t="shared" si="115"/>
        <v>0</v>
      </c>
      <c r="S383" s="88">
        <f t="shared" si="117"/>
        <v>-25439.08</v>
      </c>
      <c r="T383" s="124">
        <f t="shared" si="119"/>
        <v>0</v>
      </c>
      <c r="U383" s="88">
        <f t="shared" si="120"/>
        <v>-3341.6099999999969</v>
      </c>
      <c r="V383" s="124">
        <f t="shared" si="121"/>
        <v>0.88389402755806068</v>
      </c>
      <c r="W383" s="157">
        <f t="shared" si="123"/>
        <v>11</v>
      </c>
    </row>
    <row r="384" spans="1:23" ht="11.25" customHeight="1" x14ac:dyDescent="0.25">
      <c r="A384" s="38" t="s">
        <v>384</v>
      </c>
      <c r="B384" s="282">
        <f t="shared" si="116"/>
        <v>4</v>
      </c>
      <c r="C384" s="38"/>
      <c r="D384" s="22"/>
      <c r="E384" s="22"/>
      <c r="F384" s="385" t="s">
        <v>385</v>
      </c>
      <c r="G384" s="386"/>
      <c r="H384" s="37">
        <f t="shared" ref="H384:L384" si="146">H385</f>
        <v>0</v>
      </c>
      <c r="I384" s="37">
        <f t="shared" si="146"/>
        <v>0</v>
      </c>
      <c r="J384" s="128">
        <f t="shared" si="146"/>
        <v>0</v>
      </c>
      <c r="K384" s="341">
        <f t="shared" si="146"/>
        <v>-14905</v>
      </c>
      <c r="L384" s="139">
        <f t="shared" si="146"/>
        <v>0</v>
      </c>
      <c r="O384" s="175">
        <f t="shared" si="112"/>
        <v>0</v>
      </c>
      <c r="P384" s="176" t="str">
        <f t="shared" si="113"/>
        <v/>
      </c>
      <c r="Q384" s="175">
        <f t="shared" si="114"/>
        <v>0</v>
      </c>
      <c r="R384" s="176" t="str">
        <f t="shared" si="115"/>
        <v/>
      </c>
      <c r="S384" s="175">
        <f t="shared" si="117"/>
        <v>-14905</v>
      </c>
      <c r="T384" s="177">
        <f t="shared" si="119"/>
        <v>0</v>
      </c>
      <c r="U384" s="175">
        <f t="shared" si="120"/>
        <v>14905</v>
      </c>
      <c r="V384" s="177" t="str">
        <f t="shared" si="121"/>
        <v/>
      </c>
      <c r="W384" s="157">
        <f t="shared" si="123"/>
        <v>4</v>
      </c>
    </row>
    <row r="385" spans="1:23" ht="11.25" customHeight="1" x14ac:dyDescent="0.25">
      <c r="A385" s="26" t="s">
        <v>1284</v>
      </c>
      <c r="B385" s="282">
        <f t="shared" si="116"/>
        <v>7</v>
      </c>
      <c r="C385" s="26"/>
      <c r="D385" s="23"/>
      <c r="E385" s="23"/>
      <c r="F385" s="379" t="s">
        <v>386</v>
      </c>
      <c r="G385" s="380"/>
      <c r="H385" s="25">
        <f t="shared" ref="H385:L385" si="147">SUM(H386:H387)</f>
        <v>0</v>
      </c>
      <c r="I385" s="25">
        <f t="shared" si="147"/>
        <v>0</v>
      </c>
      <c r="J385" s="129">
        <f t="shared" si="147"/>
        <v>0</v>
      </c>
      <c r="K385" s="129">
        <f t="shared" si="147"/>
        <v>-14905</v>
      </c>
      <c r="L385" s="140">
        <f t="shared" si="147"/>
        <v>0</v>
      </c>
      <c r="O385" s="88">
        <f t="shared" si="112"/>
        <v>0</v>
      </c>
      <c r="P385" s="123" t="str">
        <f t="shared" si="113"/>
        <v/>
      </c>
      <c r="Q385" s="88">
        <f t="shared" si="114"/>
        <v>0</v>
      </c>
      <c r="R385" s="123" t="str">
        <f t="shared" si="115"/>
        <v/>
      </c>
      <c r="S385" s="88">
        <f t="shared" si="117"/>
        <v>-14905</v>
      </c>
      <c r="T385" s="124">
        <f t="shared" si="119"/>
        <v>0</v>
      </c>
      <c r="U385" s="88">
        <f t="shared" si="120"/>
        <v>14905</v>
      </c>
      <c r="V385" s="124" t="str">
        <f t="shared" si="121"/>
        <v/>
      </c>
      <c r="W385" s="157">
        <f t="shared" si="123"/>
        <v>7</v>
      </c>
    </row>
    <row r="386" spans="1:23" ht="11.25" customHeight="1" x14ac:dyDescent="0.25">
      <c r="A386" s="42" t="s">
        <v>1657</v>
      </c>
      <c r="B386" s="282">
        <f t="shared" si="116"/>
        <v>11</v>
      </c>
      <c r="C386" s="21" t="s">
        <v>1432</v>
      </c>
      <c r="D386" s="21" t="s">
        <v>920</v>
      </c>
      <c r="E386" s="21" t="s">
        <v>1244</v>
      </c>
      <c r="F386" s="387" t="s">
        <v>1658</v>
      </c>
      <c r="G386" s="388"/>
      <c r="H386" s="19"/>
      <c r="I386" s="19"/>
      <c r="J386" s="338"/>
      <c r="K386" s="131">
        <v>0</v>
      </c>
      <c r="L386" s="173"/>
      <c r="O386" s="88">
        <f t="shared" si="112"/>
        <v>0</v>
      </c>
      <c r="P386" s="123" t="str">
        <f t="shared" si="113"/>
        <v/>
      </c>
      <c r="Q386" s="88">
        <f t="shared" si="114"/>
        <v>0</v>
      </c>
      <c r="R386" s="123" t="str">
        <f t="shared" si="115"/>
        <v/>
      </c>
      <c r="S386" s="88">
        <f t="shared" si="117"/>
        <v>0</v>
      </c>
      <c r="T386" s="124" t="str">
        <f t="shared" si="119"/>
        <v/>
      </c>
      <c r="U386" s="88">
        <f t="shared" si="120"/>
        <v>0</v>
      </c>
      <c r="V386" s="124" t="str">
        <f t="shared" si="121"/>
        <v/>
      </c>
      <c r="W386" s="157">
        <f t="shared" si="123"/>
        <v>11</v>
      </c>
    </row>
    <row r="387" spans="1:23" ht="11.25" customHeight="1" x14ac:dyDescent="0.25">
      <c r="A387" s="42" t="s">
        <v>1285</v>
      </c>
      <c r="B387" s="282">
        <f t="shared" si="116"/>
        <v>11</v>
      </c>
      <c r="C387" s="20" t="s">
        <v>1432</v>
      </c>
      <c r="D387" s="20" t="s">
        <v>920</v>
      </c>
      <c r="E387" s="20" t="s">
        <v>1244</v>
      </c>
      <c r="F387" s="373" t="s">
        <v>387</v>
      </c>
      <c r="G387" s="374"/>
      <c r="H387" s="11">
        <v>0</v>
      </c>
      <c r="I387" s="11">
        <v>0</v>
      </c>
      <c r="J387" s="336">
        <v>0</v>
      </c>
      <c r="K387" s="130">
        <v>-14905</v>
      </c>
      <c r="L387" s="141"/>
      <c r="O387" s="88">
        <f t="shared" si="112"/>
        <v>0</v>
      </c>
      <c r="P387" s="123" t="str">
        <f t="shared" si="113"/>
        <v/>
      </c>
      <c r="Q387" s="88">
        <f t="shared" si="114"/>
        <v>0</v>
      </c>
      <c r="R387" s="123" t="str">
        <f t="shared" si="115"/>
        <v/>
      </c>
      <c r="S387" s="88">
        <f t="shared" si="117"/>
        <v>-14905</v>
      </c>
      <c r="T387" s="124">
        <f t="shared" si="119"/>
        <v>0</v>
      </c>
      <c r="U387" s="88">
        <f t="shared" si="120"/>
        <v>14905</v>
      </c>
      <c r="V387" s="124" t="str">
        <f t="shared" si="121"/>
        <v/>
      </c>
      <c r="W387" s="157">
        <f t="shared" si="123"/>
        <v>11</v>
      </c>
    </row>
    <row r="388" spans="1:23" ht="11.25" customHeight="1" x14ac:dyDescent="0.25">
      <c r="A388" s="41" t="s">
        <v>388</v>
      </c>
      <c r="B388" s="282">
        <f t="shared" si="116"/>
        <v>3</v>
      </c>
      <c r="C388" s="41"/>
      <c r="D388" s="40"/>
      <c r="E388" s="40"/>
      <c r="F388" s="383" t="s">
        <v>389</v>
      </c>
      <c r="G388" s="384"/>
      <c r="H388" s="43">
        <f t="shared" ref="H388:L388" si="148">H389+H392+H395</f>
        <v>-201467.57</v>
      </c>
      <c r="I388" s="43">
        <f t="shared" si="148"/>
        <v>-215133.12</v>
      </c>
      <c r="J388" s="127">
        <f t="shared" si="148"/>
        <v>-230633.58489129998</v>
      </c>
      <c r="K388" s="343">
        <f t="shared" si="148"/>
        <v>-224300.63</v>
      </c>
      <c r="L388" s="138">
        <f t="shared" si="148"/>
        <v>-221000</v>
      </c>
      <c r="O388" s="88">
        <f t="shared" si="112"/>
        <v>-9633.5848912999791</v>
      </c>
      <c r="P388" s="123">
        <f t="shared" si="113"/>
        <v>0.95822991306387406</v>
      </c>
      <c r="Q388" s="88">
        <f t="shared" si="114"/>
        <v>5866.8800000000047</v>
      </c>
      <c r="R388" s="123">
        <f t="shared" si="115"/>
        <v>1.027270928809102</v>
      </c>
      <c r="S388" s="88">
        <f t="shared" si="117"/>
        <v>-3300.6300000000047</v>
      </c>
      <c r="T388" s="124">
        <f t="shared" si="119"/>
        <v>0.98528479389469392</v>
      </c>
      <c r="U388" s="88">
        <f t="shared" si="120"/>
        <v>9167.5100000000093</v>
      </c>
      <c r="V388" s="124">
        <f t="shared" si="121"/>
        <v>1.0426131968894423</v>
      </c>
      <c r="W388" s="157">
        <f t="shared" si="123"/>
        <v>3</v>
      </c>
    </row>
    <row r="389" spans="1:23" ht="11.25" customHeight="1" x14ac:dyDescent="0.25">
      <c r="A389" s="38" t="s">
        <v>390</v>
      </c>
      <c r="B389" s="282">
        <f t="shared" si="116"/>
        <v>4</v>
      </c>
      <c r="C389" s="36"/>
      <c r="D389" s="22"/>
      <c r="E389" s="22"/>
      <c r="F389" s="385" t="s">
        <v>391</v>
      </c>
      <c r="G389" s="386"/>
      <c r="H389" s="37">
        <f t="shared" ref="H389:L389" si="149">H390</f>
        <v>-95037</v>
      </c>
      <c r="I389" s="37">
        <f t="shared" si="149"/>
        <v>-98598</v>
      </c>
      <c r="J389" s="128">
        <f t="shared" si="149"/>
        <v>-95633.584891323</v>
      </c>
      <c r="K389" s="341">
        <f t="shared" si="149"/>
        <v>-91711</v>
      </c>
      <c r="L389" s="139">
        <f t="shared" si="149"/>
        <v>-110000</v>
      </c>
      <c r="O389" s="175">
        <f t="shared" si="112"/>
        <v>14366.415108677</v>
      </c>
      <c r="P389" s="176">
        <f t="shared" si="113"/>
        <v>1.1502235341799938</v>
      </c>
      <c r="Q389" s="175">
        <f t="shared" si="114"/>
        <v>11402</v>
      </c>
      <c r="R389" s="176">
        <f t="shared" si="115"/>
        <v>1.1156412908983955</v>
      </c>
      <c r="S389" s="175">
        <f t="shared" si="117"/>
        <v>18289</v>
      </c>
      <c r="T389" s="177">
        <f t="shared" si="119"/>
        <v>1.1994199169129112</v>
      </c>
      <c r="U389" s="175">
        <f t="shared" si="120"/>
        <v>-6887</v>
      </c>
      <c r="V389" s="177">
        <f t="shared" si="121"/>
        <v>0.93015071299620677</v>
      </c>
      <c r="W389" s="157">
        <f t="shared" si="123"/>
        <v>4</v>
      </c>
    </row>
    <row r="390" spans="1:23" ht="11.25" customHeight="1" x14ac:dyDescent="0.25">
      <c r="A390" s="26" t="s">
        <v>1286</v>
      </c>
      <c r="B390" s="282">
        <f t="shared" si="116"/>
        <v>7</v>
      </c>
      <c r="C390" s="26"/>
      <c r="D390" s="23"/>
      <c r="E390" s="23"/>
      <c r="F390" s="379" t="s">
        <v>392</v>
      </c>
      <c r="G390" s="380"/>
      <c r="H390" s="25">
        <f t="shared" ref="H390:L390" si="150">SUM(H391)</f>
        <v>-95037</v>
      </c>
      <c r="I390" s="25">
        <f t="shared" si="150"/>
        <v>-98598</v>
      </c>
      <c r="J390" s="129">
        <f t="shared" si="150"/>
        <v>-95633.584891323</v>
      </c>
      <c r="K390" s="129">
        <f t="shared" si="150"/>
        <v>-91711</v>
      </c>
      <c r="L390" s="140">
        <f t="shared" si="150"/>
        <v>-110000</v>
      </c>
      <c r="O390" s="88">
        <f t="shared" si="112"/>
        <v>14366.415108677</v>
      </c>
      <c r="P390" s="123">
        <f t="shared" si="113"/>
        <v>1.1502235341799938</v>
      </c>
      <c r="Q390" s="88">
        <f t="shared" si="114"/>
        <v>11402</v>
      </c>
      <c r="R390" s="123">
        <f t="shared" si="115"/>
        <v>1.1156412908983955</v>
      </c>
      <c r="S390" s="88">
        <f t="shared" si="117"/>
        <v>18289</v>
      </c>
      <c r="T390" s="124">
        <f t="shared" si="119"/>
        <v>1.1994199169129112</v>
      </c>
      <c r="U390" s="88">
        <f t="shared" si="120"/>
        <v>-6887</v>
      </c>
      <c r="V390" s="124">
        <f t="shared" si="121"/>
        <v>0.93015071299620677</v>
      </c>
      <c r="W390" s="157">
        <f t="shared" si="123"/>
        <v>7</v>
      </c>
    </row>
    <row r="391" spans="1:23" ht="11.25" customHeight="1" x14ac:dyDescent="0.25">
      <c r="A391" s="42" t="s">
        <v>1287</v>
      </c>
      <c r="B391" s="282">
        <f t="shared" si="116"/>
        <v>11</v>
      </c>
      <c r="C391" s="27" t="s">
        <v>916</v>
      </c>
      <c r="D391" s="28" t="s">
        <v>923</v>
      </c>
      <c r="E391" s="28" t="s">
        <v>1643</v>
      </c>
      <c r="F391" s="373" t="s">
        <v>393</v>
      </c>
      <c r="G391" s="374"/>
      <c r="H391" s="11">
        <v>-95037</v>
      </c>
      <c r="I391" s="11">
        <v>-98598</v>
      </c>
      <c r="J391" s="336">
        <v>-95633.584891323</v>
      </c>
      <c r="K391" s="130">
        <v>-91711</v>
      </c>
      <c r="L391" s="142">
        <v>-110000</v>
      </c>
      <c r="O391" s="88">
        <f t="shared" si="112"/>
        <v>14366.415108677</v>
      </c>
      <c r="P391" s="123">
        <f t="shared" si="113"/>
        <v>1.1502235341799938</v>
      </c>
      <c r="Q391" s="88">
        <f t="shared" si="114"/>
        <v>11402</v>
      </c>
      <c r="R391" s="123">
        <f t="shared" si="115"/>
        <v>1.1156412908983955</v>
      </c>
      <c r="S391" s="88">
        <f t="shared" si="117"/>
        <v>18289</v>
      </c>
      <c r="T391" s="124">
        <f t="shared" si="119"/>
        <v>1.1994199169129112</v>
      </c>
      <c r="U391" s="88">
        <f t="shared" si="120"/>
        <v>-6887</v>
      </c>
      <c r="V391" s="124">
        <f t="shared" si="121"/>
        <v>0.93015071299620677</v>
      </c>
      <c r="W391" s="157">
        <f t="shared" si="123"/>
        <v>11</v>
      </c>
    </row>
    <row r="392" spans="1:23" ht="11.25" customHeight="1" x14ac:dyDescent="0.25">
      <c r="A392" s="38" t="s">
        <v>394</v>
      </c>
      <c r="B392" s="282">
        <f t="shared" si="116"/>
        <v>4</v>
      </c>
      <c r="C392" s="38"/>
      <c r="D392" s="22"/>
      <c r="E392" s="22"/>
      <c r="F392" s="385" t="s">
        <v>395</v>
      </c>
      <c r="G392" s="386"/>
      <c r="H392" s="37">
        <f t="shared" ref="H392:L392" si="151">H393</f>
        <v>-87528</v>
      </c>
      <c r="I392" s="37">
        <f t="shared" si="151"/>
        <v>-84880</v>
      </c>
      <c r="J392" s="128">
        <f t="shared" si="151"/>
        <v>-110000.000000001</v>
      </c>
      <c r="K392" s="341">
        <f t="shared" si="151"/>
        <v>-85515</v>
      </c>
      <c r="L392" s="139">
        <f t="shared" si="151"/>
        <v>-86000</v>
      </c>
      <c r="O392" s="175">
        <f t="shared" si="112"/>
        <v>-24000.000000001004</v>
      </c>
      <c r="P392" s="176">
        <f t="shared" si="113"/>
        <v>0.78181818181817464</v>
      </c>
      <c r="Q392" s="175">
        <f t="shared" si="114"/>
        <v>1120</v>
      </c>
      <c r="R392" s="176">
        <f t="shared" si="115"/>
        <v>1.0131950989632421</v>
      </c>
      <c r="S392" s="175">
        <f t="shared" si="117"/>
        <v>485</v>
      </c>
      <c r="T392" s="177">
        <f t="shared" si="119"/>
        <v>1.0056715196164416</v>
      </c>
      <c r="U392" s="175">
        <f t="shared" si="120"/>
        <v>635</v>
      </c>
      <c r="V392" s="177">
        <f t="shared" si="121"/>
        <v>1.007481149858624</v>
      </c>
      <c r="W392" s="157">
        <f t="shared" si="123"/>
        <v>4</v>
      </c>
    </row>
    <row r="393" spans="1:23" ht="11.25" customHeight="1" x14ac:dyDescent="0.25">
      <c r="A393" s="26" t="s">
        <v>1288</v>
      </c>
      <c r="B393" s="282">
        <f t="shared" si="116"/>
        <v>7</v>
      </c>
      <c r="C393" s="24"/>
      <c r="D393" s="23"/>
      <c r="E393" s="23"/>
      <c r="F393" s="379" t="s">
        <v>396</v>
      </c>
      <c r="G393" s="380"/>
      <c r="H393" s="25">
        <f t="shared" ref="H393:L393" si="152">SUM(H394)</f>
        <v>-87528</v>
      </c>
      <c r="I393" s="25">
        <f t="shared" si="152"/>
        <v>-84880</v>
      </c>
      <c r="J393" s="129">
        <f t="shared" si="152"/>
        <v>-110000.000000001</v>
      </c>
      <c r="K393" s="129">
        <f t="shared" si="152"/>
        <v>-85515</v>
      </c>
      <c r="L393" s="140">
        <f t="shared" si="152"/>
        <v>-86000</v>
      </c>
      <c r="O393" s="88">
        <f t="shared" si="112"/>
        <v>-24000.000000001004</v>
      </c>
      <c r="P393" s="123">
        <f t="shared" si="113"/>
        <v>0.78181818181817464</v>
      </c>
      <c r="Q393" s="88">
        <f t="shared" si="114"/>
        <v>1120</v>
      </c>
      <c r="R393" s="123">
        <f t="shared" si="115"/>
        <v>1.0131950989632421</v>
      </c>
      <c r="S393" s="88">
        <f t="shared" si="117"/>
        <v>485</v>
      </c>
      <c r="T393" s="124">
        <f t="shared" si="119"/>
        <v>1.0056715196164416</v>
      </c>
      <c r="U393" s="88">
        <f t="shared" si="120"/>
        <v>635</v>
      </c>
      <c r="V393" s="124">
        <f t="shared" si="121"/>
        <v>1.007481149858624</v>
      </c>
      <c r="W393" s="157">
        <f t="shared" si="123"/>
        <v>7</v>
      </c>
    </row>
    <row r="394" spans="1:23" ht="11.25" customHeight="1" x14ac:dyDescent="0.25">
      <c r="A394" s="42" t="s">
        <v>1289</v>
      </c>
      <c r="B394" s="282">
        <f t="shared" si="116"/>
        <v>11</v>
      </c>
      <c r="C394" s="27" t="s">
        <v>916</v>
      </c>
      <c r="D394" s="28" t="s">
        <v>923</v>
      </c>
      <c r="E394" s="28" t="s">
        <v>1643</v>
      </c>
      <c r="F394" s="373" t="s">
        <v>397</v>
      </c>
      <c r="G394" s="374"/>
      <c r="H394" s="11">
        <v>-87528</v>
      </c>
      <c r="I394" s="11">
        <v>-84880</v>
      </c>
      <c r="J394" s="336">
        <v>-110000.000000001</v>
      </c>
      <c r="K394" s="130">
        <v>-85515</v>
      </c>
      <c r="L394" s="142">
        <v>-86000</v>
      </c>
      <c r="O394" s="88">
        <f t="shared" si="112"/>
        <v>-24000.000000001004</v>
      </c>
      <c r="P394" s="123">
        <f t="shared" si="113"/>
        <v>0.78181818181817464</v>
      </c>
      <c r="Q394" s="88">
        <f t="shared" si="114"/>
        <v>1120</v>
      </c>
      <c r="R394" s="123">
        <f t="shared" si="115"/>
        <v>1.0131950989632421</v>
      </c>
      <c r="S394" s="88">
        <f t="shared" si="117"/>
        <v>485</v>
      </c>
      <c r="T394" s="124">
        <f t="shared" si="119"/>
        <v>1.0056715196164416</v>
      </c>
      <c r="U394" s="88">
        <f t="shared" si="120"/>
        <v>635</v>
      </c>
      <c r="V394" s="124">
        <f t="shared" si="121"/>
        <v>1.007481149858624</v>
      </c>
      <c r="W394" s="157">
        <f t="shared" si="123"/>
        <v>11</v>
      </c>
    </row>
    <row r="395" spans="1:23" ht="11.25" customHeight="1" x14ac:dyDescent="0.25">
      <c r="A395" s="38" t="s">
        <v>398</v>
      </c>
      <c r="B395" s="282">
        <f t="shared" si="116"/>
        <v>4</v>
      </c>
      <c r="C395" s="38"/>
      <c r="D395" s="22"/>
      <c r="E395" s="22"/>
      <c r="F395" s="385" t="s">
        <v>1953</v>
      </c>
      <c r="G395" s="386"/>
      <c r="H395" s="37">
        <f t="shared" ref="H395:L395" si="153">H396</f>
        <v>-18902.57</v>
      </c>
      <c r="I395" s="37">
        <f t="shared" si="153"/>
        <v>-31655.120000000003</v>
      </c>
      <c r="J395" s="128">
        <f t="shared" si="153"/>
        <v>-24999.999999976</v>
      </c>
      <c r="K395" s="333">
        <f t="shared" si="153"/>
        <v>-47074.63</v>
      </c>
      <c r="L395" s="139">
        <f t="shared" si="153"/>
        <v>-25000</v>
      </c>
      <c r="O395" s="175">
        <f t="shared" ref="O395:O458" si="154">-L395+J395</f>
        <v>2.399974619038403E-8</v>
      </c>
      <c r="P395" s="176">
        <f t="shared" ref="P395:P458" si="155">IF(J395=0,"",L395/J395)</f>
        <v>1.0000000000009599</v>
      </c>
      <c r="Q395" s="175">
        <f t="shared" ref="Q395:Q458" si="156">-L395+I395</f>
        <v>-6655.1200000000026</v>
      </c>
      <c r="R395" s="176">
        <f t="shared" ref="R395:R458" si="157">IF(I395=0,"",L395/I395)</f>
        <v>0.78976165625023687</v>
      </c>
      <c r="S395" s="175">
        <f t="shared" si="117"/>
        <v>-22074.629999999997</v>
      </c>
      <c r="T395" s="177">
        <f t="shared" si="119"/>
        <v>0.53107161968134431</v>
      </c>
      <c r="U395" s="175">
        <f t="shared" si="120"/>
        <v>15419.509999999995</v>
      </c>
      <c r="V395" s="177">
        <f t="shared" si="121"/>
        <v>1.4871095102466834</v>
      </c>
      <c r="W395" s="157">
        <f t="shared" si="123"/>
        <v>4</v>
      </c>
    </row>
    <row r="396" spans="1:23" ht="11.25" customHeight="1" x14ac:dyDescent="0.25">
      <c r="A396" s="26" t="s">
        <v>1290</v>
      </c>
      <c r="B396" s="282">
        <f t="shared" ref="B396:B459" si="158">LEN(A396)</f>
        <v>7</v>
      </c>
      <c r="C396" s="26"/>
      <c r="D396" s="23"/>
      <c r="E396" s="23"/>
      <c r="F396" s="379" t="s">
        <v>400</v>
      </c>
      <c r="G396" s="380"/>
      <c r="H396" s="25">
        <f t="shared" ref="H396:L396" si="159">SUM(H397:H401)</f>
        <v>-18902.57</v>
      </c>
      <c r="I396" s="25">
        <f t="shared" si="159"/>
        <v>-31655.120000000003</v>
      </c>
      <c r="J396" s="129">
        <f t="shared" si="159"/>
        <v>-24999.999999976</v>
      </c>
      <c r="K396" s="129">
        <f t="shared" si="159"/>
        <v>-47074.63</v>
      </c>
      <c r="L396" s="140">
        <f t="shared" si="159"/>
        <v>-25000</v>
      </c>
      <c r="O396" s="88">
        <f t="shared" si="154"/>
        <v>2.399974619038403E-8</v>
      </c>
      <c r="P396" s="123">
        <f t="shared" si="155"/>
        <v>1.0000000000009599</v>
      </c>
      <c r="Q396" s="88">
        <f t="shared" si="156"/>
        <v>-6655.1200000000026</v>
      </c>
      <c r="R396" s="123">
        <f t="shared" si="157"/>
        <v>0.78976165625023687</v>
      </c>
      <c r="S396" s="88">
        <f t="shared" ref="S396:S459" si="160">-L396+K396</f>
        <v>-22074.629999999997</v>
      </c>
      <c r="T396" s="124">
        <f t="shared" si="119"/>
        <v>0.53107161968134431</v>
      </c>
      <c r="U396" s="88">
        <f t="shared" si="120"/>
        <v>15419.509999999995</v>
      </c>
      <c r="V396" s="124">
        <f t="shared" si="121"/>
        <v>1.4871095102466834</v>
      </c>
      <c r="W396" s="157">
        <f t="shared" si="123"/>
        <v>7</v>
      </c>
    </row>
    <row r="397" spans="1:23" ht="11.25" customHeight="1" x14ac:dyDescent="0.25">
      <c r="A397" s="42" t="s">
        <v>1291</v>
      </c>
      <c r="B397" s="282">
        <f t="shared" si="158"/>
        <v>11</v>
      </c>
      <c r="C397" s="44"/>
      <c r="D397" s="34"/>
      <c r="E397" s="34"/>
      <c r="F397" s="373" t="s">
        <v>401</v>
      </c>
      <c r="G397" s="374"/>
      <c r="H397" s="11">
        <v>0</v>
      </c>
      <c r="I397" s="11">
        <v>0</v>
      </c>
      <c r="J397" s="336">
        <v>0</v>
      </c>
      <c r="K397" s="130">
        <v>0</v>
      </c>
      <c r="L397" s="141"/>
      <c r="O397" s="88">
        <f t="shared" si="154"/>
        <v>0</v>
      </c>
      <c r="P397" s="123" t="str">
        <f t="shared" si="155"/>
        <v/>
      </c>
      <c r="Q397" s="88">
        <f t="shared" si="156"/>
        <v>0</v>
      </c>
      <c r="R397" s="123" t="str">
        <f t="shared" si="157"/>
        <v/>
      </c>
      <c r="S397" s="88">
        <f t="shared" si="160"/>
        <v>0</v>
      </c>
      <c r="T397" s="124" t="str">
        <f t="shared" ref="T397:T460" si="161">IF(K397=0,"",L397/K397)</f>
        <v/>
      </c>
      <c r="U397" s="88">
        <f t="shared" ref="U397:U460" si="162">-K397+I397</f>
        <v>0</v>
      </c>
      <c r="V397" s="124" t="str">
        <f t="shared" ref="V397:V460" si="163">IF(I397=0,"",K397/I397)</f>
        <v/>
      </c>
      <c r="W397" s="157">
        <f t="shared" si="123"/>
        <v>11</v>
      </c>
    </row>
    <row r="398" spans="1:23" ht="11.25" customHeight="1" x14ac:dyDescent="0.25">
      <c r="A398" s="42" t="s">
        <v>1292</v>
      </c>
      <c r="B398" s="282">
        <f t="shared" si="158"/>
        <v>11</v>
      </c>
      <c r="C398" s="27" t="s">
        <v>916</v>
      </c>
      <c r="D398" s="28" t="s">
        <v>923</v>
      </c>
      <c r="E398" s="28" t="s">
        <v>917</v>
      </c>
      <c r="F398" s="373" t="s">
        <v>402</v>
      </c>
      <c r="G398" s="374"/>
      <c r="H398" s="11">
        <v>49432.43</v>
      </c>
      <c r="I398" s="11">
        <v>57303.88</v>
      </c>
      <c r="J398" s="336">
        <v>0</v>
      </c>
      <c r="K398" s="130">
        <v>49965.37</v>
      </c>
      <c r="L398" s="142">
        <v>0</v>
      </c>
      <c r="O398" s="88">
        <f t="shared" si="154"/>
        <v>0</v>
      </c>
      <c r="P398" s="123" t="str">
        <f t="shared" si="155"/>
        <v/>
      </c>
      <c r="Q398" s="88">
        <f t="shared" si="156"/>
        <v>57303.88</v>
      </c>
      <c r="R398" s="123">
        <f t="shared" si="157"/>
        <v>0</v>
      </c>
      <c r="S398" s="88">
        <f t="shared" si="160"/>
        <v>49965.37</v>
      </c>
      <c r="T398" s="124">
        <f t="shared" si="161"/>
        <v>0</v>
      </c>
      <c r="U398" s="88">
        <f t="shared" si="162"/>
        <v>7338.5099999999948</v>
      </c>
      <c r="V398" s="124">
        <f t="shared" si="163"/>
        <v>0.87193694388582421</v>
      </c>
      <c r="W398" s="157">
        <f t="shared" si="123"/>
        <v>11</v>
      </c>
    </row>
    <row r="399" spans="1:23" ht="11.25" customHeight="1" x14ac:dyDescent="0.25">
      <c r="A399" s="42" t="s">
        <v>1293</v>
      </c>
      <c r="B399" s="282">
        <f t="shared" si="158"/>
        <v>11</v>
      </c>
      <c r="C399" s="27" t="s">
        <v>916</v>
      </c>
      <c r="D399" s="28" t="s">
        <v>920</v>
      </c>
      <c r="E399" s="28" t="s">
        <v>917</v>
      </c>
      <c r="F399" s="373" t="s">
        <v>403</v>
      </c>
      <c r="G399" s="374"/>
      <c r="H399" s="11">
        <v>-48200</v>
      </c>
      <c r="I399" s="11">
        <v>-71620</v>
      </c>
      <c r="J399" s="336">
        <v>0</v>
      </c>
      <c r="K399" s="130">
        <v>-78820</v>
      </c>
      <c r="L399" s="141"/>
      <c r="O399" s="88">
        <f t="shared" si="154"/>
        <v>0</v>
      </c>
      <c r="P399" s="123" t="str">
        <f t="shared" si="155"/>
        <v/>
      </c>
      <c r="Q399" s="88">
        <f t="shared" si="156"/>
        <v>-71620</v>
      </c>
      <c r="R399" s="123">
        <f t="shared" si="157"/>
        <v>0</v>
      </c>
      <c r="S399" s="88">
        <f t="shared" si="160"/>
        <v>-78820</v>
      </c>
      <c r="T399" s="124">
        <f t="shared" si="161"/>
        <v>0</v>
      </c>
      <c r="U399" s="88">
        <f t="shared" si="162"/>
        <v>7200</v>
      </c>
      <c r="V399" s="124">
        <f t="shared" si="163"/>
        <v>1.1005305780508239</v>
      </c>
      <c r="W399" s="157">
        <f t="shared" ref="W399:W462" si="164">LEN(A399)</f>
        <v>11</v>
      </c>
    </row>
    <row r="400" spans="1:23" ht="11.25" customHeight="1" x14ac:dyDescent="0.25">
      <c r="A400" s="42" t="s">
        <v>1294</v>
      </c>
      <c r="B400" s="282">
        <f t="shared" si="158"/>
        <v>11</v>
      </c>
      <c r="C400" s="20" t="s">
        <v>916</v>
      </c>
      <c r="D400" s="20" t="s">
        <v>919</v>
      </c>
      <c r="E400" s="20" t="s">
        <v>918</v>
      </c>
      <c r="F400" s="373" t="s">
        <v>404</v>
      </c>
      <c r="G400" s="374"/>
      <c r="H400" s="11">
        <v>-20135</v>
      </c>
      <c r="I400" s="11">
        <v>-17099</v>
      </c>
      <c r="J400" s="336">
        <v>-24999.999999976</v>
      </c>
      <c r="K400" s="130">
        <v>-18130</v>
      </c>
      <c r="L400" s="142">
        <v>-25000</v>
      </c>
      <c r="O400" s="88">
        <f t="shared" si="154"/>
        <v>2.399974619038403E-8</v>
      </c>
      <c r="P400" s="123">
        <f t="shared" si="155"/>
        <v>1.0000000000009599</v>
      </c>
      <c r="Q400" s="88">
        <f t="shared" si="156"/>
        <v>7901</v>
      </c>
      <c r="R400" s="123">
        <f t="shared" si="157"/>
        <v>1.462073805485701</v>
      </c>
      <c r="S400" s="88">
        <f t="shared" si="160"/>
        <v>6870</v>
      </c>
      <c r="T400" s="124">
        <f t="shared" si="161"/>
        <v>1.3789299503585217</v>
      </c>
      <c r="U400" s="88">
        <f t="shared" si="162"/>
        <v>1031</v>
      </c>
      <c r="V400" s="124">
        <f t="shared" si="163"/>
        <v>1.0602959237382303</v>
      </c>
      <c r="W400" s="157">
        <f t="shared" si="164"/>
        <v>11</v>
      </c>
    </row>
    <row r="401" spans="1:23" ht="11.25" customHeight="1" x14ac:dyDescent="0.25">
      <c r="A401" s="42" t="s">
        <v>1295</v>
      </c>
      <c r="B401" s="282">
        <f t="shared" si="158"/>
        <v>11</v>
      </c>
      <c r="C401" s="27" t="s">
        <v>916</v>
      </c>
      <c r="D401" s="28" t="s">
        <v>919</v>
      </c>
      <c r="E401" s="28" t="s">
        <v>917</v>
      </c>
      <c r="F401" s="373" t="s">
        <v>405</v>
      </c>
      <c r="G401" s="374"/>
      <c r="H401" s="11">
        <v>0</v>
      </c>
      <c r="I401" s="11">
        <v>-240</v>
      </c>
      <c r="J401" s="336">
        <v>0</v>
      </c>
      <c r="K401" s="130">
        <v>-90</v>
      </c>
      <c r="L401" s="142">
        <v>0</v>
      </c>
      <c r="O401" s="88">
        <f t="shared" si="154"/>
        <v>0</v>
      </c>
      <c r="P401" s="123" t="str">
        <f t="shared" si="155"/>
        <v/>
      </c>
      <c r="Q401" s="88">
        <f t="shared" si="156"/>
        <v>-240</v>
      </c>
      <c r="R401" s="123">
        <f t="shared" si="157"/>
        <v>0</v>
      </c>
      <c r="S401" s="88">
        <f t="shared" si="160"/>
        <v>-90</v>
      </c>
      <c r="T401" s="124">
        <f t="shared" si="161"/>
        <v>0</v>
      </c>
      <c r="U401" s="88">
        <f t="shared" si="162"/>
        <v>-150</v>
      </c>
      <c r="V401" s="124">
        <f t="shared" si="163"/>
        <v>0.375</v>
      </c>
      <c r="W401" s="157">
        <f t="shared" si="164"/>
        <v>11</v>
      </c>
    </row>
    <row r="402" spans="1:23" ht="11.25" customHeight="1" x14ac:dyDescent="0.25">
      <c r="A402" s="41" t="s">
        <v>406</v>
      </c>
      <c r="B402" s="282">
        <f t="shared" si="158"/>
        <v>3</v>
      </c>
      <c r="C402" s="41"/>
      <c r="D402" s="40"/>
      <c r="E402" s="40"/>
      <c r="F402" s="383" t="s">
        <v>407</v>
      </c>
      <c r="G402" s="384"/>
      <c r="H402" s="43">
        <f t="shared" ref="H402:L402" si="165">H403+H408+H418+H419+H424+H425+H426+H433+H434</f>
        <v>-63418481.770000003</v>
      </c>
      <c r="I402" s="43">
        <f t="shared" si="165"/>
        <v>-66223146.299999997</v>
      </c>
      <c r="J402" s="127">
        <f t="shared" si="165"/>
        <v>-73607999.999999925</v>
      </c>
      <c r="K402" s="127">
        <f t="shared" si="165"/>
        <v>-67669279.480000004</v>
      </c>
      <c r="L402" s="138">
        <f t="shared" si="165"/>
        <v>-66634456</v>
      </c>
      <c r="O402" s="88">
        <f t="shared" si="154"/>
        <v>-6973543.9999999255</v>
      </c>
      <c r="P402" s="123">
        <f t="shared" si="155"/>
        <v>0.90526105858059003</v>
      </c>
      <c r="Q402" s="88">
        <f t="shared" si="156"/>
        <v>411309.70000000298</v>
      </c>
      <c r="R402" s="123">
        <f t="shared" si="157"/>
        <v>1.0062109658477523</v>
      </c>
      <c r="S402" s="88">
        <f t="shared" si="160"/>
        <v>-1034823.4800000042</v>
      </c>
      <c r="T402" s="124">
        <f t="shared" si="161"/>
        <v>0.98470763265174333</v>
      </c>
      <c r="U402" s="88">
        <f t="shared" si="162"/>
        <v>1446133.1800000072</v>
      </c>
      <c r="V402" s="124">
        <f t="shared" si="163"/>
        <v>1.0218372768555699</v>
      </c>
      <c r="W402" s="157">
        <f t="shared" si="164"/>
        <v>3</v>
      </c>
    </row>
    <row r="403" spans="1:23" ht="11.25" customHeight="1" x14ac:dyDescent="0.25">
      <c r="A403" s="38" t="s">
        <v>408</v>
      </c>
      <c r="B403" s="282">
        <f t="shared" si="158"/>
        <v>4</v>
      </c>
      <c r="C403" s="38"/>
      <c r="D403" s="22"/>
      <c r="E403" s="22"/>
      <c r="F403" s="385" t="s">
        <v>409</v>
      </c>
      <c r="G403" s="386"/>
      <c r="H403" s="37">
        <f t="shared" ref="H403:L403" si="166">H404+H406</f>
        <v>-1022.42</v>
      </c>
      <c r="I403" s="37">
        <f t="shared" si="166"/>
        <v>-99536.13</v>
      </c>
      <c r="J403" s="128">
        <f t="shared" si="166"/>
        <v>0</v>
      </c>
      <c r="K403" s="333">
        <f t="shared" si="166"/>
        <v>-243.01</v>
      </c>
      <c r="L403" s="139">
        <f t="shared" si="166"/>
        <v>0</v>
      </c>
      <c r="O403" s="175">
        <f t="shared" si="154"/>
        <v>0</v>
      </c>
      <c r="P403" s="176" t="str">
        <f t="shared" si="155"/>
        <v/>
      </c>
      <c r="Q403" s="175">
        <f t="shared" si="156"/>
        <v>-99536.13</v>
      </c>
      <c r="R403" s="176">
        <f t="shared" si="157"/>
        <v>0</v>
      </c>
      <c r="S403" s="175">
        <f t="shared" si="160"/>
        <v>-243.01</v>
      </c>
      <c r="T403" s="177">
        <f t="shared" si="161"/>
        <v>0</v>
      </c>
      <c r="U403" s="175">
        <f t="shared" si="162"/>
        <v>-99293.12000000001</v>
      </c>
      <c r="V403" s="177">
        <f t="shared" si="163"/>
        <v>2.4414250383252793E-3</v>
      </c>
      <c r="W403" s="157">
        <f t="shared" si="164"/>
        <v>4</v>
      </c>
    </row>
    <row r="404" spans="1:23" ht="11.25" customHeight="1" x14ac:dyDescent="0.25">
      <c r="A404" s="26" t="s">
        <v>1296</v>
      </c>
      <c r="B404" s="282">
        <f t="shared" si="158"/>
        <v>7</v>
      </c>
      <c r="C404" s="26"/>
      <c r="D404" s="23"/>
      <c r="E404" s="23"/>
      <c r="F404" s="379" t="s">
        <v>410</v>
      </c>
      <c r="G404" s="380"/>
      <c r="H404" s="25">
        <f t="shared" ref="H404:L404" si="167">SUM(H405)</f>
        <v>-1022.42</v>
      </c>
      <c r="I404" s="25">
        <f t="shared" si="167"/>
        <v>-18</v>
      </c>
      <c r="J404" s="129">
        <f t="shared" si="167"/>
        <v>0</v>
      </c>
      <c r="K404" s="129">
        <f t="shared" si="167"/>
        <v>-243.01</v>
      </c>
      <c r="L404" s="140">
        <f t="shared" si="167"/>
        <v>0</v>
      </c>
      <c r="O404" s="88">
        <f t="shared" si="154"/>
        <v>0</v>
      </c>
      <c r="P404" s="123" t="str">
        <f t="shared" si="155"/>
        <v/>
      </c>
      <c r="Q404" s="88">
        <f t="shared" si="156"/>
        <v>-18</v>
      </c>
      <c r="R404" s="123">
        <f t="shared" si="157"/>
        <v>0</v>
      </c>
      <c r="S404" s="88">
        <f t="shared" si="160"/>
        <v>-243.01</v>
      </c>
      <c r="T404" s="124">
        <f t="shared" si="161"/>
        <v>0</v>
      </c>
      <c r="U404" s="88">
        <f t="shared" si="162"/>
        <v>225.01</v>
      </c>
      <c r="V404" s="124">
        <f t="shared" si="163"/>
        <v>13.500555555555556</v>
      </c>
      <c r="W404" s="157">
        <f t="shared" si="164"/>
        <v>7</v>
      </c>
    </row>
    <row r="405" spans="1:23" ht="11.25" customHeight="1" x14ac:dyDescent="0.25">
      <c r="A405" s="42" t="s">
        <v>1297</v>
      </c>
      <c r="B405" s="282">
        <f t="shared" si="158"/>
        <v>11</v>
      </c>
      <c r="C405" s="14"/>
      <c r="D405" s="13"/>
      <c r="E405" s="13"/>
      <c r="F405" s="373" t="s">
        <v>411</v>
      </c>
      <c r="G405" s="374"/>
      <c r="H405" s="11">
        <v>-1022.42</v>
      </c>
      <c r="I405" s="11">
        <v>-18</v>
      </c>
      <c r="J405" s="336">
        <v>0</v>
      </c>
      <c r="K405" s="130">
        <v>-243.01</v>
      </c>
      <c r="L405" s="141"/>
      <c r="O405" s="88">
        <f t="shared" si="154"/>
        <v>0</v>
      </c>
      <c r="P405" s="123" t="str">
        <f t="shared" si="155"/>
        <v/>
      </c>
      <c r="Q405" s="88">
        <f t="shared" si="156"/>
        <v>-18</v>
      </c>
      <c r="R405" s="123">
        <f t="shared" si="157"/>
        <v>0</v>
      </c>
      <c r="S405" s="88">
        <f t="shared" si="160"/>
        <v>-243.01</v>
      </c>
      <c r="T405" s="124">
        <f t="shared" si="161"/>
        <v>0</v>
      </c>
      <c r="U405" s="88">
        <f t="shared" si="162"/>
        <v>225.01</v>
      </c>
      <c r="V405" s="124">
        <f t="shared" si="163"/>
        <v>13.500555555555556</v>
      </c>
      <c r="W405" s="157">
        <f t="shared" si="164"/>
        <v>11</v>
      </c>
    </row>
    <row r="406" spans="1:23" ht="11.25" customHeight="1" x14ac:dyDescent="0.25">
      <c r="A406" s="26" t="s">
        <v>1298</v>
      </c>
      <c r="B406" s="282">
        <f t="shared" si="158"/>
        <v>7</v>
      </c>
      <c r="C406" s="26"/>
      <c r="D406" s="23"/>
      <c r="E406" s="23"/>
      <c r="F406" s="379" t="s">
        <v>412</v>
      </c>
      <c r="G406" s="380"/>
      <c r="H406" s="25">
        <f t="shared" ref="H406:L406" si="168">SUM(H407)</f>
        <v>0</v>
      </c>
      <c r="I406" s="25">
        <f t="shared" si="168"/>
        <v>-99518.13</v>
      </c>
      <c r="J406" s="129">
        <f t="shared" si="168"/>
        <v>0</v>
      </c>
      <c r="K406" s="129">
        <f t="shared" si="168"/>
        <v>0</v>
      </c>
      <c r="L406" s="140">
        <f t="shared" si="168"/>
        <v>0</v>
      </c>
      <c r="O406" s="88">
        <f t="shared" si="154"/>
        <v>0</v>
      </c>
      <c r="P406" s="123" t="str">
        <f t="shared" si="155"/>
        <v/>
      </c>
      <c r="Q406" s="88">
        <f t="shared" si="156"/>
        <v>-99518.13</v>
      </c>
      <c r="R406" s="123">
        <f t="shared" si="157"/>
        <v>0</v>
      </c>
      <c r="S406" s="88">
        <f t="shared" si="160"/>
        <v>0</v>
      </c>
      <c r="T406" s="124" t="str">
        <f t="shared" si="161"/>
        <v/>
      </c>
      <c r="U406" s="88">
        <f t="shared" si="162"/>
        <v>-99518.13</v>
      </c>
      <c r="V406" s="124">
        <f t="shared" si="163"/>
        <v>0</v>
      </c>
      <c r="W406" s="157">
        <f t="shared" si="164"/>
        <v>7</v>
      </c>
    </row>
    <row r="407" spans="1:23" ht="11.25" customHeight="1" x14ac:dyDescent="0.25">
      <c r="A407" s="42" t="s">
        <v>1299</v>
      </c>
      <c r="B407" s="282">
        <f t="shared" si="158"/>
        <v>11</v>
      </c>
      <c r="C407" s="14"/>
      <c r="D407" s="13"/>
      <c r="E407" s="13"/>
      <c r="F407" s="373" t="s">
        <v>413</v>
      </c>
      <c r="G407" s="374"/>
      <c r="H407" s="11">
        <v>0</v>
      </c>
      <c r="I407" s="11">
        <v>-99518.13</v>
      </c>
      <c r="J407" s="336">
        <v>0</v>
      </c>
      <c r="K407" s="130">
        <v>0</v>
      </c>
      <c r="L407" s="141"/>
      <c r="O407" s="88">
        <f t="shared" si="154"/>
        <v>0</v>
      </c>
      <c r="P407" s="123" t="str">
        <f t="shared" si="155"/>
        <v/>
      </c>
      <c r="Q407" s="88">
        <f t="shared" si="156"/>
        <v>-99518.13</v>
      </c>
      <c r="R407" s="123">
        <f t="shared" si="157"/>
        <v>0</v>
      </c>
      <c r="S407" s="88">
        <f t="shared" si="160"/>
        <v>0</v>
      </c>
      <c r="T407" s="124" t="str">
        <f t="shared" si="161"/>
        <v/>
      </c>
      <c r="U407" s="88">
        <f t="shared" si="162"/>
        <v>-99518.13</v>
      </c>
      <c r="V407" s="124">
        <f t="shared" si="163"/>
        <v>0</v>
      </c>
      <c r="W407" s="157">
        <f t="shared" si="164"/>
        <v>11</v>
      </c>
    </row>
    <row r="408" spans="1:23" ht="11.25" customHeight="1" x14ac:dyDescent="0.25">
      <c r="A408" s="38" t="s">
        <v>414</v>
      </c>
      <c r="B408" s="282">
        <f t="shared" si="158"/>
        <v>4</v>
      </c>
      <c r="C408" s="36"/>
      <c r="D408" s="22"/>
      <c r="E408" s="22"/>
      <c r="F408" s="385" t="s">
        <v>1731</v>
      </c>
      <c r="G408" s="386"/>
      <c r="H408" s="37">
        <f t="shared" ref="H408:L408" si="169">H409+H411</f>
        <v>-2652006</v>
      </c>
      <c r="I408" s="37">
        <f t="shared" si="169"/>
        <v>-410560</v>
      </c>
      <c r="J408" s="128">
        <f t="shared" si="169"/>
        <v>-7700000</v>
      </c>
      <c r="K408" s="333">
        <f t="shared" si="169"/>
        <v>-104990</v>
      </c>
      <c r="L408" s="139">
        <f t="shared" si="169"/>
        <v>-1000000</v>
      </c>
      <c r="O408" s="175">
        <f t="shared" si="154"/>
        <v>-6700000</v>
      </c>
      <c r="P408" s="176">
        <f t="shared" si="155"/>
        <v>0.12987012987012986</v>
      </c>
      <c r="Q408" s="175">
        <f t="shared" si="156"/>
        <v>589440</v>
      </c>
      <c r="R408" s="176">
        <f t="shared" si="157"/>
        <v>2.4356975837879968</v>
      </c>
      <c r="S408" s="175">
        <f t="shared" si="160"/>
        <v>895010</v>
      </c>
      <c r="T408" s="177">
        <f t="shared" si="161"/>
        <v>9.5247166396799692</v>
      </c>
      <c r="U408" s="175">
        <f t="shared" si="162"/>
        <v>-305570</v>
      </c>
      <c r="V408" s="177">
        <f t="shared" si="163"/>
        <v>0.25572388932190177</v>
      </c>
      <c r="W408" s="157">
        <f t="shared" si="164"/>
        <v>4</v>
      </c>
    </row>
    <row r="409" spans="1:23" ht="11.25" customHeight="1" x14ac:dyDescent="0.25">
      <c r="A409" s="26" t="s">
        <v>1300</v>
      </c>
      <c r="B409" s="282">
        <f t="shared" si="158"/>
        <v>7</v>
      </c>
      <c r="C409" s="26"/>
      <c r="D409" s="23"/>
      <c r="E409" s="23"/>
      <c r="F409" s="379" t="s">
        <v>416</v>
      </c>
      <c r="G409" s="380"/>
      <c r="H409" s="25">
        <f t="shared" ref="H409:L409" si="170">SUM(H410)</f>
        <v>1000000</v>
      </c>
      <c r="I409" s="25">
        <f t="shared" si="170"/>
        <v>0</v>
      </c>
      <c r="J409" s="129">
        <f t="shared" si="170"/>
        <v>-7700000</v>
      </c>
      <c r="K409" s="129">
        <f t="shared" si="170"/>
        <v>0</v>
      </c>
      <c r="L409" s="140">
        <f t="shared" si="170"/>
        <v>-1000000</v>
      </c>
      <c r="O409" s="88">
        <f t="shared" si="154"/>
        <v>-6700000</v>
      </c>
      <c r="P409" s="123">
        <f t="shared" si="155"/>
        <v>0.12987012987012986</v>
      </c>
      <c r="Q409" s="88">
        <f t="shared" si="156"/>
        <v>1000000</v>
      </c>
      <c r="R409" s="123" t="str">
        <f t="shared" si="157"/>
        <v/>
      </c>
      <c r="S409" s="88">
        <f t="shared" si="160"/>
        <v>1000000</v>
      </c>
      <c r="T409" s="124" t="str">
        <f t="shared" si="161"/>
        <v/>
      </c>
      <c r="U409" s="88">
        <f t="shared" si="162"/>
        <v>0</v>
      </c>
      <c r="V409" s="124" t="str">
        <f t="shared" si="163"/>
        <v/>
      </c>
      <c r="W409" s="157">
        <f t="shared" si="164"/>
        <v>7</v>
      </c>
    </row>
    <row r="410" spans="1:23" ht="11.25" customHeight="1" x14ac:dyDescent="0.25">
      <c r="A410" s="42" t="s">
        <v>1301</v>
      </c>
      <c r="B410" s="282">
        <f t="shared" si="158"/>
        <v>11</v>
      </c>
      <c r="C410" s="27" t="s">
        <v>916</v>
      </c>
      <c r="D410" s="16" t="s">
        <v>923</v>
      </c>
      <c r="E410" s="16" t="s">
        <v>917</v>
      </c>
      <c r="F410" s="373" t="s">
        <v>1640</v>
      </c>
      <c r="G410" s="374"/>
      <c r="H410" s="11">
        <v>1000000</v>
      </c>
      <c r="I410" s="11">
        <v>0</v>
      </c>
      <c r="J410" s="336">
        <v>-7700000</v>
      </c>
      <c r="K410" s="130">
        <v>0</v>
      </c>
      <c r="L410" s="198">
        <v>-1000000</v>
      </c>
      <c r="O410" s="88">
        <f t="shared" si="154"/>
        <v>-6700000</v>
      </c>
      <c r="P410" s="123">
        <f t="shared" si="155"/>
        <v>0.12987012987012986</v>
      </c>
      <c r="Q410" s="88">
        <f t="shared" si="156"/>
        <v>1000000</v>
      </c>
      <c r="R410" s="123" t="str">
        <f t="shared" si="157"/>
        <v/>
      </c>
      <c r="S410" s="88">
        <f t="shared" si="160"/>
        <v>1000000</v>
      </c>
      <c r="T410" s="124" t="str">
        <f t="shared" si="161"/>
        <v/>
      </c>
      <c r="U410" s="88">
        <f t="shared" si="162"/>
        <v>0</v>
      </c>
      <c r="V410" s="124" t="str">
        <f t="shared" si="163"/>
        <v/>
      </c>
      <c r="W410" s="157">
        <f t="shared" si="164"/>
        <v>11</v>
      </c>
    </row>
    <row r="411" spans="1:23" ht="11.25" customHeight="1" x14ac:dyDescent="0.25">
      <c r="A411" s="26" t="s">
        <v>1302</v>
      </c>
      <c r="B411" s="282">
        <f t="shared" si="158"/>
        <v>7</v>
      </c>
      <c r="C411" s="26"/>
      <c r="D411" s="23"/>
      <c r="E411" s="23"/>
      <c r="F411" s="379" t="s">
        <v>417</v>
      </c>
      <c r="G411" s="380"/>
      <c r="H411" s="25">
        <f>SUM(H412:H417)</f>
        <v>-3652006</v>
      </c>
      <c r="I411" s="25">
        <f>SUM(I412:I417)</f>
        <v>-410560</v>
      </c>
      <c r="J411" s="129">
        <f>SUM(J412:J417)</f>
        <v>0</v>
      </c>
      <c r="K411" s="129">
        <f t="shared" ref="K411:L411" si="171">SUM(K412:K417)</f>
        <v>-104990</v>
      </c>
      <c r="L411" s="140">
        <f t="shared" si="171"/>
        <v>0</v>
      </c>
      <c r="O411" s="88">
        <f t="shared" si="154"/>
        <v>0</v>
      </c>
      <c r="P411" s="123" t="str">
        <f t="shared" si="155"/>
        <v/>
      </c>
      <c r="Q411" s="88">
        <f t="shared" si="156"/>
        <v>-410560</v>
      </c>
      <c r="R411" s="123">
        <f t="shared" si="157"/>
        <v>0</v>
      </c>
      <c r="S411" s="88">
        <f t="shared" si="160"/>
        <v>-104990</v>
      </c>
      <c r="T411" s="124">
        <f t="shared" si="161"/>
        <v>0</v>
      </c>
      <c r="U411" s="88">
        <f t="shared" si="162"/>
        <v>-305570</v>
      </c>
      <c r="V411" s="124">
        <f t="shared" si="163"/>
        <v>0.25572388932190177</v>
      </c>
      <c r="W411" s="157">
        <f t="shared" si="164"/>
        <v>7</v>
      </c>
    </row>
    <row r="412" spans="1:23" ht="11.25" customHeight="1" x14ac:dyDescent="0.25">
      <c r="A412" s="42" t="s">
        <v>1303</v>
      </c>
      <c r="B412" s="282">
        <f t="shared" si="158"/>
        <v>11</v>
      </c>
      <c r="C412" s="14"/>
      <c r="D412" s="13"/>
      <c r="E412" s="13"/>
      <c r="F412" s="373" t="s">
        <v>418</v>
      </c>
      <c r="G412" s="374"/>
      <c r="H412" s="11">
        <v>-17748</v>
      </c>
      <c r="I412" s="11">
        <v>-9355</v>
      </c>
      <c r="J412" s="336">
        <v>0</v>
      </c>
      <c r="K412" s="130">
        <v>-27737</v>
      </c>
      <c r="L412" s="141"/>
      <c r="O412" s="88">
        <f t="shared" si="154"/>
        <v>0</v>
      </c>
      <c r="P412" s="123" t="str">
        <f t="shared" si="155"/>
        <v/>
      </c>
      <c r="Q412" s="88">
        <f t="shared" si="156"/>
        <v>-9355</v>
      </c>
      <c r="R412" s="123">
        <f t="shared" si="157"/>
        <v>0</v>
      </c>
      <c r="S412" s="88">
        <f t="shared" si="160"/>
        <v>-27737</v>
      </c>
      <c r="T412" s="124">
        <f t="shared" si="161"/>
        <v>0</v>
      </c>
      <c r="U412" s="88">
        <f t="shared" si="162"/>
        <v>18382</v>
      </c>
      <c r="V412" s="124">
        <f t="shared" si="163"/>
        <v>2.9649385355424904</v>
      </c>
      <c r="W412" s="157">
        <f t="shared" si="164"/>
        <v>11</v>
      </c>
    </row>
    <row r="413" spans="1:23" ht="11.25" customHeight="1" x14ac:dyDescent="0.25">
      <c r="A413" s="42" t="s">
        <v>1304</v>
      </c>
      <c r="B413" s="282">
        <f t="shared" si="158"/>
        <v>11</v>
      </c>
      <c r="C413" s="14"/>
      <c r="D413" s="13"/>
      <c r="E413" s="13"/>
      <c r="F413" s="373" t="s">
        <v>419</v>
      </c>
      <c r="G413" s="374"/>
      <c r="H413" s="11">
        <v>0</v>
      </c>
      <c r="I413" s="11">
        <v>-300000</v>
      </c>
      <c r="J413" s="336">
        <v>0</v>
      </c>
      <c r="K413" s="130">
        <v>-50000</v>
      </c>
      <c r="L413" s="141"/>
      <c r="O413" s="88">
        <f t="shared" si="154"/>
        <v>0</v>
      </c>
      <c r="P413" s="123" t="str">
        <f t="shared" si="155"/>
        <v/>
      </c>
      <c r="Q413" s="88">
        <f t="shared" si="156"/>
        <v>-300000</v>
      </c>
      <c r="R413" s="123">
        <f t="shared" si="157"/>
        <v>0</v>
      </c>
      <c r="S413" s="88">
        <f t="shared" si="160"/>
        <v>-50000</v>
      </c>
      <c r="T413" s="124">
        <f t="shared" si="161"/>
        <v>0</v>
      </c>
      <c r="U413" s="88">
        <f t="shared" si="162"/>
        <v>-250000</v>
      </c>
      <c r="V413" s="124">
        <f t="shared" si="163"/>
        <v>0.16666666666666666</v>
      </c>
      <c r="W413" s="157">
        <f t="shared" si="164"/>
        <v>11</v>
      </c>
    </row>
    <row r="414" spans="1:23" ht="11.25" customHeight="1" x14ac:dyDescent="0.25">
      <c r="A414" s="42" t="s">
        <v>1305</v>
      </c>
      <c r="B414" s="282">
        <f t="shared" si="158"/>
        <v>11</v>
      </c>
      <c r="C414" s="14"/>
      <c r="D414" s="13"/>
      <c r="E414" s="13"/>
      <c r="F414" s="373" t="s">
        <v>420</v>
      </c>
      <c r="G414" s="374"/>
      <c r="H414" s="11">
        <v>-16700</v>
      </c>
      <c r="I414" s="11">
        <v>-5205</v>
      </c>
      <c r="J414" s="336">
        <v>0</v>
      </c>
      <c r="K414" s="130">
        <v>-155700</v>
      </c>
      <c r="L414" s="141"/>
      <c r="O414" s="88">
        <f t="shared" si="154"/>
        <v>0</v>
      </c>
      <c r="P414" s="123" t="str">
        <f t="shared" si="155"/>
        <v/>
      </c>
      <c r="Q414" s="88">
        <f t="shared" si="156"/>
        <v>-5205</v>
      </c>
      <c r="R414" s="123">
        <f t="shared" si="157"/>
        <v>0</v>
      </c>
      <c r="S414" s="88">
        <f t="shared" si="160"/>
        <v>-155700</v>
      </c>
      <c r="T414" s="124">
        <f t="shared" si="161"/>
        <v>0</v>
      </c>
      <c r="U414" s="88">
        <f t="shared" si="162"/>
        <v>150495</v>
      </c>
      <c r="V414" s="124">
        <f t="shared" si="163"/>
        <v>29.913544668587896</v>
      </c>
      <c r="W414" s="157">
        <f t="shared" si="164"/>
        <v>11</v>
      </c>
    </row>
    <row r="415" spans="1:23" ht="11.25" customHeight="1" x14ac:dyDescent="0.25">
      <c r="A415" s="42" t="s">
        <v>1306</v>
      </c>
      <c r="B415" s="282">
        <f t="shared" si="158"/>
        <v>11</v>
      </c>
      <c r="C415" s="14"/>
      <c r="D415" s="13"/>
      <c r="E415" s="13"/>
      <c r="F415" s="373" t="s">
        <v>421</v>
      </c>
      <c r="G415" s="374"/>
      <c r="H415" s="11">
        <v>0</v>
      </c>
      <c r="I415" s="11">
        <v>-96000</v>
      </c>
      <c r="J415" s="336">
        <v>0</v>
      </c>
      <c r="K415" s="130">
        <v>-3333</v>
      </c>
      <c r="L415" s="141"/>
      <c r="O415" s="88">
        <f t="shared" si="154"/>
        <v>0</v>
      </c>
      <c r="P415" s="123" t="str">
        <f t="shared" si="155"/>
        <v/>
      </c>
      <c r="Q415" s="88">
        <f t="shared" si="156"/>
        <v>-96000</v>
      </c>
      <c r="R415" s="123">
        <f t="shared" si="157"/>
        <v>0</v>
      </c>
      <c r="S415" s="88">
        <f t="shared" si="160"/>
        <v>-3333</v>
      </c>
      <c r="T415" s="124">
        <f t="shared" si="161"/>
        <v>0</v>
      </c>
      <c r="U415" s="88">
        <f t="shared" si="162"/>
        <v>-92667</v>
      </c>
      <c r="V415" s="124">
        <f t="shared" si="163"/>
        <v>3.471875E-2</v>
      </c>
      <c r="W415" s="157">
        <f t="shared" si="164"/>
        <v>11</v>
      </c>
    </row>
    <row r="416" spans="1:23" ht="11.25" customHeight="1" x14ac:dyDescent="0.25">
      <c r="A416" s="42" t="s">
        <v>1307</v>
      </c>
      <c r="B416" s="282">
        <f t="shared" si="158"/>
        <v>11</v>
      </c>
      <c r="C416" s="14"/>
      <c r="D416" s="13"/>
      <c r="E416" s="13"/>
      <c r="F416" s="373" t="s">
        <v>422</v>
      </c>
      <c r="G416" s="374"/>
      <c r="H416" s="11">
        <v>80000</v>
      </c>
      <c r="I416" s="11">
        <v>0</v>
      </c>
      <c r="J416" s="336">
        <v>0</v>
      </c>
      <c r="K416" s="130">
        <v>131780</v>
      </c>
      <c r="L416" s="141"/>
      <c r="O416" s="88">
        <f t="shared" si="154"/>
        <v>0</v>
      </c>
      <c r="P416" s="123" t="str">
        <f t="shared" si="155"/>
        <v/>
      </c>
      <c r="Q416" s="88">
        <f t="shared" si="156"/>
        <v>0</v>
      </c>
      <c r="R416" s="123" t="str">
        <f t="shared" si="157"/>
        <v/>
      </c>
      <c r="S416" s="88">
        <f t="shared" si="160"/>
        <v>131780</v>
      </c>
      <c r="T416" s="124">
        <f t="shared" si="161"/>
        <v>0</v>
      </c>
      <c r="U416" s="88">
        <f t="shared" si="162"/>
        <v>-131780</v>
      </c>
      <c r="V416" s="124" t="str">
        <f t="shared" si="163"/>
        <v/>
      </c>
      <c r="W416" s="157">
        <f t="shared" si="164"/>
        <v>11</v>
      </c>
    </row>
    <row r="417" spans="1:23" ht="11.25" customHeight="1" x14ac:dyDescent="0.25">
      <c r="A417" s="42" t="s">
        <v>1308</v>
      </c>
      <c r="B417" s="282">
        <f t="shared" si="158"/>
        <v>11</v>
      </c>
      <c r="C417" s="14"/>
      <c r="D417" s="13"/>
      <c r="E417" s="13"/>
      <c r="F417" s="373" t="s">
        <v>423</v>
      </c>
      <c r="G417" s="374"/>
      <c r="H417" s="11">
        <v>-3697558</v>
      </c>
      <c r="I417" s="11">
        <v>0</v>
      </c>
      <c r="J417" s="336">
        <v>0</v>
      </c>
      <c r="K417" s="130">
        <v>0</v>
      </c>
      <c r="L417" s="141"/>
      <c r="O417" s="88">
        <f t="shared" si="154"/>
        <v>0</v>
      </c>
      <c r="P417" s="123" t="str">
        <f t="shared" si="155"/>
        <v/>
      </c>
      <c r="Q417" s="88">
        <f t="shared" si="156"/>
        <v>0</v>
      </c>
      <c r="R417" s="123" t="str">
        <f t="shared" si="157"/>
        <v/>
      </c>
      <c r="S417" s="88">
        <f t="shared" si="160"/>
        <v>0</v>
      </c>
      <c r="T417" s="124" t="str">
        <f t="shared" si="161"/>
        <v/>
      </c>
      <c r="U417" s="88">
        <f t="shared" si="162"/>
        <v>0</v>
      </c>
      <c r="V417" s="124" t="str">
        <f t="shared" si="163"/>
        <v/>
      </c>
      <c r="W417" s="157">
        <f t="shared" si="164"/>
        <v>11</v>
      </c>
    </row>
    <row r="418" spans="1:23" ht="11.25" customHeight="1" x14ac:dyDescent="0.25">
      <c r="A418" s="38" t="s">
        <v>424</v>
      </c>
      <c r="B418" s="282">
        <f t="shared" si="158"/>
        <v>4</v>
      </c>
      <c r="C418" s="36"/>
      <c r="D418" s="22"/>
      <c r="E418" s="22"/>
      <c r="F418" s="385" t="s">
        <v>425</v>
      </c>
      <c r="G418" s="386"/>
      <c r="H418" s="37">
        <v>0</v>
      </c>
      <c r="I418" s="37">
        <v>0</v>
      </c>
      <c r="J418" s="128">
        <v>0</v>
      </c>
      <c r="K418" s="132">
        <v>0</v>
      </c>
      <c r="L418" s="147">
        <f t="shared" ref="L418:L433" si="172">(K418/8)*12</f>
        <v>0</v>
      </c>
      <c r="O418" s="175">
        <f t="shared" si="154"/>
        <v>0</v>
      </c>
      <c r="P418" s="176" t="str">
        <f t="shared" si="155"/>
        <v/>
      </c>
      <c r="Q418" s="175">
        <f t="shared" si="156"/>
        <v>0</v>
      </c>
      <c r="R418" s="176" t="str">
        <f t="shared" si="157"/>
        <v/>
      </c>
      <c r="S418" s="175">
        <f t="shared" si="160"/>
        <v>0</v>
      </c>
      <c r="T418" s="177" t="str">
        <f t="shared" si="161"/>
        <v/>
      </c>
      <c r="U418" s="175">
        <f t="shared" si="162"/>
        <v>0</v>
      </c>
      <c r="V418" s="177" t="str">
        <f t="shared" si="163"/>
        <v/>
      </c>
      <c r="W418" s="157">
        <f t="shared" si="164"/>
        <v>4</v>
      </c>
    </row>
    <row r="419" spans="1:23" ht="11.25" customHeight="1" x14ac:dyDescent="0.25">
      <c r="A419" s="38" t="s">
        <v>426</v>
      </c>
      <c r="B419" s="282">
        <f t="shared" si="158"/>
        <v>4</v>
      </c>
      <c r="C419" s="36"/>
      <c r="D419" s="22"/>
      <c r="E419" s="22"/>
      <c r="F419" s="385" t="s">
        <v>415</v>
      </c>
      <c r="G419" s="386"/>
      <c r="H419" s="37">
        <f t="shared" ref="H419:L419" si="173">H420</f>
        <v>-45437614.600000001</v>
      </c>
      <c r="I419" s="37">
        <f t="shared" si="173"/>
        <v>-47113480.409999996</v>
      </c>
      <c r="J419" s="128">
        <f t="shared" si="173"/>
        <v>-48500000</v>
      </c>
      <c r="K419" s="333">
        <f t="shared" si="173"/>
        <v>-50648119.980000004</v>
      </c>
      <c r="L419" s="139">
        <f t="shared" si="173"/>
        <v>-47172000</v>
      </c>
      <c r="O419" s="175">
        <f t="shared" si="154"/>
        <v>-1328000</v>
      </c>
      <c r="P419" s="176">
        <f t="shared" si="155"/>
        <v>0.97261855670103092</v>
      </c>
      <c r="Q419" s="175">
        <f t="shared" si="156"/>
        <v>58519.590000003576</v>
      </c>
      <c r="R419" s="176">
        <f t="shared" si="157"/>
        <v>1.0012420986412114</v>
      </c>
      <c r="S419" s="175">
        <f t="shared" si="160"/>
        <v>-3476119.9800000042</v>
      </c>
      <c r="T419" s="177">
        <f t="shared" si="161"/>
        <v>0.93136724558833262</v>
      </c>
      <c r="U419" s="175">
        <f t="shared" si="162"/>
        <v>3534639.5700000077</v>
      </c>
      <c r="V419" s="177">
        <f t="shared" si="163"/>
        <v>1.0750239536379012</v>
      </c>
      <c r="W419" s="157">
        <f t="shared" si="164"/>
        <v>4</v>
      </c>
    </row>
    <row r="420" spans="1:23" ht="11.25" customHeight="1" x14ac:dyDescent="0.25">
      <c r="A420" s="26" t="s">
        <v>1309</v>
      </c>
      <c r="B420" s="282">
        <f t="shared" si="158"/>
        <v>7</v>
      </c>
      <c r="C420" s="26"/>
      <c r="D420" s="23"/>
      <c r="E420" s="23"/>
      <c r="F420" s="379" t="s">
        <v>428</v>
      </c>
      <c r="G420" s="380"/>
      <c r="H420" s="25">
        <f t="shared" ref="H420:L420" si="174">SUM(H421:H423)</f>
        <v>-45437614.600000001</v>
      </c>
      <c r="I420" s="25">
        <f t="shared" si="174"/>
        <v>-47113480.409999996</v>
      </c>
      <c r="J420" s="129">
        <f t="shared" si="174"/>
        <v>-48500000</v>
      </c>
      <c r="K420" s="129">
        <f t="shared" si="174"/>
        <v>-50648119.980000004</v>
      </c>
      <c r="L420" s="140">
        <f t="shared" si="174"/>
        <v>-47172000</v>
      </c>
      <c r="O420" s="88">
        <f t="shared" si="154"/>
        <v>-1328000</v>
      </c>
      <c r="P420" s="123">
        <f t="shared" si="155"/>
        <v>0.97261855670103092</v>
      </c>
      <c r="Q420" s="88">
        <f t="shared" si="156"/>
        <v>58519.590000003576</v>
      </c>
      <c r="R420" s="123">
        <f t="shared" si="157"/>
        <v>1.0012420986412114</v>
      </c>
      <c r="S420" s="88">
        <f t="shared" si="160"/>
        <v>-3476119.9800000042</v>
      </c>
      <c r="T420" s="124">
        <f t="shared" si="161"/>
        <v>0.93136724558833262</v>
      </c>
      <c r="U420" s="88">
        <f t="shared" si="162"/>
        <v>3534639.5700000077</v>
      </c>
      <c r="V420" s="124">
        <f t="shared" si="163"/>
        <v>1.0750239536379012</v>
      </c>
      <c r="W420" s="157">
        <f t="shared" si="164"/>
        <v>7</v>
      </c>
    </row>
    <row r="421" spans="1:23" ht="11.25" customHeight="1" x14ac:dyDescent="0.25">
      <c r="A421" s="42" t="s">
        <v>1310</v>
      </c>
      <c r="B421" s="282">
        <f t="shared" si="158"/>
        <v>11</v>
      </c>
      <c r="C421" s="20" t="s">
        <v>922</v>
      </c>
      <c r="D421" s="20" t="s">
        <v>919</v>
      </c>
      <c r="E421" s="20" t="s">
        <v>924</v>
      </c>
      <c r="F421" s="373" t="s">
        <v>429</v>
      </c>
      <c r="G421" s="374"/>
      <c r="H421" s="11">
        <v>-7926991</v>
      </c>
      <c r="I421" s="11">
        <v>-8094871</v>
      </c>
      <c r="J421" s="336">
        <v>-9600000</v>
      </c>
      <c r="K421" s="130">
        <v>-9144573.4900000002</v>
      </c>
      <c r="L421" s="142">
        <v>-9424000</v>
      </c>
      <c r="O421" s="88">
        <f t="shared" si="154"/>
        <v>-176000</v>
      </c>
      <c r="P421" s="123">
        <f t="shared" si="155"/>
        <v>0.98166666666666669</v>
      </c>
      <c r="Q421" s="88">
        <f t="shared" si="156"/>
        <v>1329129</v>
      </c>
      <c r="R421" s="123">
        <f t="shared" si="157"/>
        <v>1.1641939692429935</v>
      </c>
      <c r="S421" s="88">
        <f t="shared" si="160"/>
        <v>279426.50999999978</v>
      </c>
      <c r="T421" s="124">
        <f t="shared" si="161"/>
        <v>1.030556538290776</v>
      </c>
      <c r="U421" s="88">
        <f t="shared" si="162"/>
        <v>1049702.4900000002</v>
      </c>
      <c r="V421" s="124">
        <f t="shared" si="163"/>
        <v>1.1296750114980214</v>
      </c>
      <c r="W421" s="157">
        <f t="shared" si="164"/>
        <v>11</v>
      </c>
    </row>
    <row r="422" spans="1:23" ht="11.25" customHeight="1" x14ac:dyDescent="0.25">
      <c r="A422" s="42" t="s">
        <v>1311</v>
      </c>
      <c r="B422" s="282">
        <f t="shared" si="158"/>
        <v>11</v>
      </c>
      <c r="C422" s="20" t="s">
        <v>922</v>
      </c>
      <c r="D422" s="20" t="s">
        <v>919</v>
      </c>
      <c r="E422" s="20" t="s">
        <v>924</v>
      </c>
      <c r="F422" s="373" t="s">
        <v>430</v>
      </c>
      <c r="G422" s="374"/>
      <c r="H422" s="11">
        <v>-37338090</v>
      </c>
      <c r="I422" s="11">
        <v>-38941303</v>
      </c>
      <c r="J422" s="336">
        <v>-38800000</v>
      </c>
      <c r="K422" s="130">
        <v>-41201203</v>
      </c>
      <c r="L422" s="142">
        <v>-37437000</v>
      </c>
      <c r="O422" s="88">
        <f t="shared" si="154"/>
        <v>-1363000</v>
      </c>
      <c r="P422" s="123">
        <f t="shared" si="155"/>
        <v>0.96487113402061853</v>
      </c>
      <c r="Q422" s="88">
        <f t="shared" si="156"/>
        <v>-1504303</v>
      </c>
      <c r="R422" s="123">
        <f t="shared" si="157"/>
        <v>0.96136998805612639</v>
      </c>
      <c r="S422" s="88">
        <f t="shared" si="160"/>
        <v>-3764203</v>
      </c>
      <c r="T422" s="124">
        <f t="shared" si="161"/>
        <v>0.90863851718116095</v>
      </c>
      <c r="U422" s="88">
        <f t="shared" si="162"/>
        <v>2259900</v>
      </c>
      <c r="V422" s="124">
        <f t="shared" si="163"/>
        <v>1.0580334972355701</v>
      </c>
      <c r="W422" s="157">
        <f t="shared" si="164"/>
        <v>11</v>
      </c>
    </row>
    <row r="423" spans="1:23" ht="11.25" customHeight="1" x14ac:dyDescent="0.25">
      <c r="A423" s="42" t="s">
        <v>1312</v>
      </c>
      <c r="B423" s="282">
        <f t="shared" si="158"/>
        <v>11</v>
      </c>
      <c r="C423" s="20" t="s">
        <v>922</v>
      </c>
      <c r="D423" s="20" t="s">
        <v>919</v>
      </c>
      <c r="E423" s="20" t="s">
        <v>924</v>
      </c>
      <c r="F423" s="373" t="s">
        <v>431</v>
      </c>
      <c r="G423" s="374"/>
      <c r="H423" s="11">
        <v>-172533.6</v>
      </c>
      <c r="I423" s="11">
        <v>-77306.41</v>
      </c>
      <c r="J423" s="336">
        <v>-99999.999999998006</v>
      </c>
      <c r="K423" s="130">
        <v>-302343.49</v>
      </c>
      <c r="L423" s="142">
        <v>-311000</v>
      </c>
      <c r="O423" s="88">
        <f t="shared" si="154"/>
        <v>211000.00000000198</v>
      </c>
      <c r="P423" s="123">
        <f t="shared" si="155"/>
        <v>3.110000000000062</v>
      </c>
      <c r="Q423" s="88">
        <f t="shared" si="156"/>
        <v>233693.59</v>
      </c>
      <c r="R423" s="123">
        <f t="shared" si="157"/>
        <v>4.0229523011093127</v>
      </c>
      <c r="S423" s="88">
        <f t="shared" si="160"/>
        <v>8656.5100000000093</v>
      </c>
      <c r="T423" s="124">
        <f t="shared" si="161"/>
        <v>1.028631375525896</v>
      </c>
      <c r="U423" s="88">
        <f t="shared" si="162"/>
        <v>225037.08</v>
      </c>
      <c r="V423" s="124">
        <f t="shared" si="163"/>
        <v>3.9109756875270754</v>
      </c>
      <c r="W423" s="157">
        <f t="shared" si="164"/>
        <v>11</v>
      </c>
    </row>
    <row r="424" spans="1:23" ht="11.25" customHeight="1" x14ac:dyDescent="0.25">
      <c r="A424" s="38" t="s">
        <v>432</v>
      </c>
      <c r="B424" s="282">
        <f t="shared" si="158"/>
        <v>4</v>
      </c>
      <c r="C424" s="36"/>
      <c r="D424" s="22"/>
      <c r="E424" s="22"/>
      <c r="F424" s="385" t="s">
        <v>433</v>
      </c>
      <c r="G424" s="386"/>
      <c r="H424" s="37">
        <v>0</v>
      </c>
      <c r="I424" s="37">
        <v>0</v>
      </c>
      <c r="J424" s="128">
        <v>0</v>
      </c>
      <c r="K424" s="132">
        <v>0</v>
      </c>
      <c r="L424" s="147">
        <f t="shared" si="172"/>
        <v>0</v>
      </c>
      <c r="O424" s="175">
        <f t="shared" si="154"/>
        <v>0</v>
      </c>
      <c r="P424" s="176" t="str">
        <f t="shared" si="155"/>
        <v/>
      </c>
      <c r="Q424" s="175">
        <f t="shared" si="156"/>
        <v>0</v>
      </c>
      <c r="R424" s="176" t="str">
        <f t="shared" si="157"/>
        <v/>
      </c>
      <c r="S424" s="175">
        <f t="shared" si="160"/>
        <v>0</v>
      </c>
      <c r="T424" s="177" t="str">
        <f t="shared" si="161"/>
        <v/>
      </c>
      <c r="U424" s="175">
        <f t="shared" si="162"/>
        <v>0</v>
      </c>
      <c r="V424" s="177" t="str">
        <f t="shared" si="163"/>
        <v/>
      </c>
      <c r="W424" s="157">
        <f t="shared" si="164"/>
        <v>4</v>
      </c>
    </row>
    <row r="425" spans="1:23" ht="11.25" customHeight="1" x14ac:dyDescent="0.25">
      <c r="A425" s="38" t="s">
        <v>434</v>
      </c>
      <c r="B425" s="282">
        <f t="shared" si="158"/>
        <v>4</v>
      </c>
      <c r="C425" s="36"/>
      <c r="D425" s="22"/>
      <c r="E425" s="22"/>
      <c r="F425" s="385" t="s">
        <v>435</v>
      </c>
      <c r="G425" s="386"/>
      <c r="H425" s="37">
        <v>0</v>
      </c>
      <c r="I425" s="37">
        <v>0</v>
      </c>
      <c r="J425" s="128">
        <v>0</v>
      </c>
      <c r="K425" s="132">
        <v>0</v>
      </c>
      <c r="L425" s="147">
        <f t="shared" si="172"/>
        <v>0</v>
      </c>
      <c r="O425" s="175">
        <f t="shared" si="154"/>
        <v>0</v>
      </c>
      <c r="P425" s="176" t="str">
        <f t="shared" si="155"/>
        <v/>
      </c>
      <c r="Q425" s="175">
        <f t="shared" si="156"/>
        <v>0</v>
      </c>
      <c r="R425" s="176" t="str">
        <f t="shared" si="157"/>
        <v/>
      </c>
      <c r="S425" s="175">
        <f t="shared" si="160"/>
        <v>0</v>
      </c>
      <c r="T425" s="177" t="str">
        <f t="shared" si="161"/>
        <v/>
      </c>
      <c r="U425" s="175">
        <f t="shared" si="162"/>
        <v>0</v>
      </c>
      <c r="V425" s="177" t="str">
        <f t="shared" si="163"/>
        <v/>
      </c>
      <c r="W425" s="157">
        <f t="shared" si="164"/>
        <v>4</v>
      </c>
    </row>
    <row r="426" spans="1:23" ht="11.25" customHeight="1" x14ac:dyDescent="0.25">
      <c r="A426" s="38" t="s">
        <v>436</v>
      </c>
      <c r="B426" s="282">
        <f t="shared" si="158"/>
        <v>4</v>
      </c>
      <c r="C426" s="36"/>
      <c r="D426" s="22"/>
      <c r="E426" s="22"/>
      <c r="F426" s="385" t="s">
        <v>1732</v>
      </c>
      <c r="G426" s="386"/>
      <c r="H426" s="37">
        <f t="shared" ref="H426:L426" si="175">H427+H429+H431</f>
        <v>-267206.43</v>
      </c>
      <c r="I426" s="37">
        <f t="shared" si="175"/>
        <v>-262633</v>
      </c>
      <c r="J426" s="128">
        <f t="shared" si="175"/>
        <v>0</v>
      </c>
      <c r="K426" s="333">
        <f t="shared" si="175"/>
        <v>-257622.97</v>
      </c>
      <c r="L426" s="139">
        <f t="shared" si="175"/>
        <v>0</v>
      </c>
      <c r="O426" s="175">
        <f t="shared" si="154"/>
        <v>0</v>
      </c>
      <c r="P426" s="176" t="str">
        <f t="shared" si="155"/>
        <v/>
      </c>
      <c r="Q426" s="175">
        <f t="shared" si="156"/>
        <v>-262633</v>
      </c>
      <c r="R426" s="176">
        <f t="shared" si="157"/>
        <v>0</v>
      </c>
      <c r="S426" s="175">
        <f t="shared" si="160"/>
        <v>-257622.97</v>
      </c>
      <c r="T426" s="177">
        <f t="shared" si="161"/>
        <v>0</v>
      </c>
      <c r="U426" s="175">
        <f t="shared" si="162"/>
        <v>-5010.0299999999988</v>
      </c>
      <c r="V426" s="177">
        <f t="shared" si="163"/>
        <v>0.98092383668465122</v>
      </c>
      <c r="W426" s="157">
        <f t="shared" si="164"/>
        <v>4</v>
      </c>
    </row>
    <row r="427" spans="1:23" ht="11.25" customHeight="1" x14ac:dyDescent="0.25">
      <c r="A427" s="26" t="s">
        <v>1313</v>
      </c>
      <c r="B427" s="282">
        <f t="shared" si="158"/>
        <v>7</v>
      </c>
      <c r="C427" s="26"/>
      <c r="D427" s="23"/>
      <c r="E427" s="23"/>
      <c r="F427" s="379" t="s">
        <v>438</v>
      </c>
      <c r="G427" s="380"/>
      <c r="H427" s="25">
        <f t="shared" ref="H427:L427" si="176">SUM(H428)</f>
        <v>-35429</v>
      </c>
      <c r="I427" s="25">
        <f t="shared" si="176"/>
        <v>-17523</v>
      </c>
      <c r="J427" s="129">
        <f t="shared" si="176"/>
        <v>0</v>
      </c>
      <c r="K427" s="129">
        <f t="shared" si="176"/>
        <v>-187309.97</v>
      </c>
      <c r="L427" s="140">
        <f t="shared" si="176"/>
        <v>0</v>
      </c>
      <c r="O427" s="88">
        <f t="shared" si="154"/>
        <v>0</v>
      </c>
      <c r="P427" s="123" t="str">
        <f t="shared" si="155"/>
        <v/>
      </c>
      <c r="Q427" s="88">
        <f t="shared" si="156"/>
        <v>-17523</v>
      </c>
      <c r="R427" s="123">
        <f t="shared" si="157"/>
        <v>0</v>
      </c>
      <c r="S427" s="88">
        <f t="shared" si="160"/>
        <v>-187309.97</v>
      </c>
      <c r="T427" s="124">
        <f t="shared" si="161"/>
        <v>0</v>
      </c>
      <c r="U427" s="88">
        <f t="shared" si="162"/>
        <v>169786.97</v>
      </c>
      <c r="V427" s="124">
        <f t="shared" si="163"/>
        <v>10.689377960394909</v>
      </c>
      <c r="W427" s="157">
        <f t="shared" si="164"/>
        <v>7</v>
      </c>
    </row>
    <row r="428" spans="1:23" ht="11.25" customHeight="1" x14ac:dyDescent="0.25">
      <c r="A428" s="42" t="s">
        <v>1314</v>
      </c>
      <c r="B428" s="282">
        <f t="shared" si="158"/>
        <v>11</v>
      </c>
      <c r="C428" s="14"/>
      <c r="D428" s="13"/>
      <c r="E428" s="13"/>
      <c r="F428" s="373" t="s">
        <v>439</v>
      </c>
      <c r="G428" s="374"/>
      <c r="H428" s="11">
        <v>-35429</v>
      </c>
      <c r="I428" s="11">
        <v>-17523</v>
      </c>
      <c r="J428" s="336">
        <v>0</v>
      </c>
      <c r="K428" s="130">
        <v>-187309.97</v>
      </c>
      <c r="L428" s="141"/>
      <c r="O428" s="88">
        <f t="shared" si="154"/>
        <v>0</v>
      </c>
      <c r="P428" s="123" t="str">
        <f t="shared" si="155"/>
        <v/>
      </c>
      <c r="Q428" s="88">
        <f t="shared" si="156"/>
        <v>-17523</v>
      </c>
      <c r="R428" s="123">
        <f t="shared" si="157"/>
        <v>0</v>
      </c>
      <c r="S428" s="88">
        <f t="shared" si="160"/>
        <v>-187309.97</v>
      </c>
      <c r="T428" s="124">
        <f t="shared" si="161"/>
        <v>0</v>
      </c>
      <c r="U428" s="88">
        <f t="shared" si="162"/>
        <v>169786.97</v>
      </c>
      <c r="V428" s="124">
        <f t="shared" si="163"/>
        <v>10.689377960394909</v>
      </c>
      <c r="W428" s="157">
        <f t="shared" si="164"/>
        <v>11</v>
      </c>
    </row>
    <row r="429" spans="1:23" ht="11.25" customHeight="1" x14ac:dyDescent="0.25">
      <c r="A429" s="26" t="s">
        <v>1315</v>
      </c>
      <c r="B429" s="282">
        <f t="shared" si="158"/>
        <v>7</v>
      </c>
      <c r="C429" s="26"/>
      <c r="D429" s="23"/>
      <c r="E429" s="23"/>
      <c r="F429" s="379" t="s">
        <v>440</v>
      </c>
      <c r="G429" s="380"/>
      <c r="H429" s="25">
        <f t="shared" ref="H429:L429" si="177">SUM(H430)</f>
        <v>-228690</v>
      </c>
      <c r="I429" s="25">
        <f t="shared" si="177"/>
        <v>-245110</v>
      </c>
      <c r="J429" s="129">
        <f t="shared" si="177"/>
        <v>0</v>
      </c>
      <c r="K429" s="129">
        <f t="shared" si="177"/>
        <v>-70313</v>
      </c>
      <c r="L429" s="140">
        <f t="shared" si="177"/>
        <v>0</v>
      </c>
      <c r="O429" s="88">
        <f t="shared" si="154"/>
        <v>0</v>
      </c>
      <c r="P429" s="123" t="str">
        <f t="shared" si="155"/>
        <v/>
      </c>
      <c r="Q429" s="88">
        <f t="shared" si="156"/>
        <v>-245110</v>
      </c>
      <c r="R429" s="123">
        <f t="shared" si="157"/>
        <v>0</v>
      </c>
      <c r="S429" s="88">
        <f t="shared" si="160"/>
        <v>-70313</v>
      </c>
      <c r="T429" s="124">
        <f t="shared" si="161"/>
        <v>0</v>
      </c>
      <c r="U429" s="88">
        <f t="shared" si="162"/>
        <v>-174797</v>
      </c>
      <c r="V429" s="124">
        <f t="shared" si="163"/>
        <v>0.28686304108359512</v>
      </c>
      <c r="W429" s="157">
        <f t="shared" si="164"/>
        <v>7</v>
      </c>
    </row>
    <row r="430" spans="1:23" ht="11.25" customHeight="1" x14ac:dyDescent="0.25">
      <c r="A430" s="42" t="s">
        <v>1316</v>
      </c>
      <c r="B430" s="282">
        <f t="shared" si="158"/>
        <v>11</v>
      </c>
      <c r="C430" s="27" t="s">
        <v>916</v>
      </c>
      <c r="D430" s="16" t="s">
        <v>923</v>
      </c>
      <c r="E430" s="16" t="s">
        <v>917</v>
      </c>
      <c r="F430" s="373" t="s">
        <v>441</v>
      </c>
      <c r="G430" s="374"/>
      <c r="H430" s="11">
        <v>-228690</v>
      </c>
      <c r="I430" s="11">
        <v>-245110</v>
      </c>
      <c r="J430" s="336">
        <v>0</v>
      </c>
      <c r="K430" s="130">
        <v>-70313</v>
      </c>
      <c r="L430" s="142">
        <v>0</v>
      </c>
      <c r="O430" s="88">
        <f t="shared" si="154"/>
        <v>0</v>
      </c>
      <c r="P430" s="123" t="str">
        <f t="shared" si="155"/>
        <v/>
      </c>
      <c r="Q430" s="88">
        <f t="shared" si="156"/>
        <v>-245110</v>
      </c>
      <c r="R430" s="123">
        <f t="shared" si="157"/>
        <v>0</v>
      </c>
      <c r="S430" s="88">
        <f t="shared" si="160"/>
        <v>-70313</v>
      </c>
      <c r="T430" s="124">
        <f t="shared" si="161"/>
        <v>0</v>
      </c>
      <c r="U430" s="88">
        <f t="shared" si="162"/>
        <v>-174797</v>
      </c>
      <c r="V430" s="124">
        <f t="shared" si="163"/>
        <v>0.28686304108359512</v>
      </c>
      <c r="W430" s="157">
        <f t="shared" si="164"/>
        <v>11</v>
      </c>
    </row>
    <row r="431" spans="1:23" ht="11.25" customHeight="1" x14ac:dyDescent="0.25">
      <c r="A431" s="26" t="s">
        <v>1317</v>
      </c>
      <c r="B431" s="282">
        <f t="shared" si="158"/>
        <v>7</v>
      </c>
      <c r="C431" s="26"/>
      <c r="D431" s="23"/>
      <c r="E431" s="23"/>
      <c r="F431" s="379" t="s">
        <v>442</v>
      </c>
      <c r="G431" s="380"/>
      <c r="H431" s="25">
        <f t="shared" ref="H431:L431" si="178">SUM(H432)</f>
        <v>-3087.43</v>
      </c>
      <c r="I431" s="25">
        <f t="shared" si="178"/>
        <v>0</v>
      </c>
      <c r="J431" s="129">
        <f t="shared" si="178"/>
        <v>0</v>
      </c>
      <c r="K431" s="129">
        <f t="shared" si="178"/>
        <v>0</v>
      </c>
      <c r="L431" s="140">
        <f t="shared" si="178"/>
        <v>0</v>
      </c>
      <c r="O431" s="88">
        <f t="shared" si="154"/>
        <v>0</v>
      </c>
      <c r="P431" s="123" t="str">
        <f t="shared" si="155"/>
        <v/>
      </c>
      <c r="Q431" s="88">
        <f t="shared" si="156"/>
        <v>0</v>
      </c>
      <c r="R431" s="123" t="str">
        <f t="shared" si="157"/>
        <v/>
      </c>
      <c r="S431" s="88">
        <f t="shared" si="160"/>
        <v>0</v>
      </c>
      <c r="T431" s="124" t="str">
        <f t="shared" si="161"/>
        <v/>
      </c>
      <c r="U431" s="88">
        <f t="shared" si="162"/>
        <v>0</v>
      </c>
      <c r="V431" s="124" t="str">
        <f t="shared" si="163"/>
        <v/>
      </c>
      <c r="W431" s="157">
        <f t="shared" si="164"/>
        <v>7</v>
      </c>
    </row>
    <row r="432" spans="1:23" ht="11.25" customHeight="1" x14ac:dyDescent="0.25">
      <c r="A432" s="42" t="s">
        <v>1318</v>
      </c>
      <c r="B432" s="282">
        <f t="shared" si="158"/>
        <v>11</v>
      </c>
      <c r="C432" s="14"/>
      <c r="D432" s="13"/>
      <c r="E432" s="13"/>
      <c r="F432" s="373" t="s">
        <v>443</v>
      </c>
      <c r="G432" s="374"/>
      <c r="H432" s="11">
        <v>-3087.43</v>
      </c>
      <c r="I432" s="11">
        <v>0</v>
      </c>
      <c r="J432" s="336">
        <v>0</v>
      </c>
      <c r="K432" s="130">
        <v>0</v>
      </c>
      <c r="L432" s="141"/>
      <c r="O432" s="88">
        <f t="shared" si="154"/>
        <v>0</v>
      </c>
      <c r="P432" s="123" t="str">
        <f t="shared" si="155"/>
        <v/>
      </c>
      <c r="Q432" s="88">
        <f t="shared" si="156"/>
        <v>0</v>
      </c>
      <c r="R432" s="123" t="str">
        <f t="shared" si="157"/>
        <v/>
      </c>
      <c r="S432" s="88">
        <f t="shared" si="160"/>
        <v>0</v>
      </c>
      <c r="T432" s="124" t="str">
        <f t="shared" si="161"/>
        <v/>
      </c>
      <c r="U432" s="88">
        <f t="shared" si="162"/>
        <v>0</v>
      </c>
      <c r="V432" s="124" t="str">
        <f t="shared" si="163"/>
        <v/>
      </c>
      <c r="W432" s="157">
        <f t="shared" si="164"/>
        <v>11</v>
      </c>
    </row>
    <row r="433" spans="1:23" ht="11.25" customHeight="1" x14ac:dyDescent="0.25">
      <c r="A433" s="38" t="s">
        <v>444</v>
      </c>
      <c r="B433" s="282">
        <f t="shared" si="158"/>
        <v>4</v>
      </c>
      <c r="C433" s="38"/>
      <c r="D433" s="22"/>
      <c r="E433" s="22"/>
      <c r="F433" s="385" t="s">
        <v>445</v>
      </c>
      <c r="G433" s="386"/>
      <c r="H433" s="37">
        <v>0</v>
      </c>
      <c r="I433" s="37">
        <v>0</v>
      </c>
      <c r="J433" s="128">
        <v>0</v>
      </c>
      <c r="K433" s="132">
        <v>0</v>
      </c>
      <c r="L433" s="147">
        <f t="shared" si="172"/>
        <v>0</v>
      </c>
      <c r="O433" s="175">
        <f t="shared" si="154"/>
        <v>0</v>
      </c>
      <c r="P433" s="176" t="str">
        <f t="shared" si="155"/>
        <v/>
      </c>
      <c r="Q433" s="175">
        <f t="shared" si="156"/>
        <v>0</v>
      </c>
      <c r="R433" s="176" t="str">
        <f t="shared" si="157"/>
        <v/>
      </c>
      <c r="S433" s="175">
        <f t="shared" si="160"/>
        <v>0</v>
      </c>
      <c r="T433" s="177" t="str">
        <f t="shared" si="161"/>
        <v/>
      </c>
      <c r="U433" s="175">
        <f t="shared" si="162"/>
        <v>0</v>
      </c>
      <c r="V433" s="177" t="str">
        <f t="shared" si="163"/>
        <v/>
      </c>
      <c r="W433" s="157">
        <f t="shared" si="164"/>
        <v>4</v>
      </c>
    </row>
    <row r="434" spans="1:23" ht="11.25" customHeight="1" x14ac:dyDescent="0.25">
      <c r="A434" s="38" t="s">
        <v>446</v>
      </c>
      <c r="B434" s="282">
        <f t="shared" si="158"/>
        <v>4</v>
      </c>
      <c r="C434" s="38"/>
      <c r="D434" s="22"/>
      <c r="E434" s="22"/>
      <c r="F434" s="385" t="s">
        <v>1947</v>
      </c>
      <c r="G434" s="386"/>
      <c r="H434" s="37">
        <f t="shared" ref="H434:L434" si="179">H435+H437+H440+H444+H446+H461+H466+H468+H470+H473+H475+H477+H479+H481+H483+H485+H487+H489+H493</f>
        <v>-15060632.32</v>
      </c>
      <c r="I434" s="37">
        <f t="shared" si="179"/>
        <v>-18336936.760000002</v>
      </c>
      <c r="J434" s="128">
        <f t="shared" si="179"/>
        <v>-17407999.999999925</v>
      </c>
      <c r="K434" s="333">
        <f t="shared" si="179"/>
        <v>-16658303.52</v>
      </c>
      <c r="L434" s="139">
        <f t="shared" si="179"/>
        <v>-18462456</v>
      </c>
      <c r="O434" s="175">
        <f t="shared" si="154"/>
        <v>1054456.0000000745</v>
      </c>
      <c r="P434" s="176">
        <f t="shared" si="155"/>
        <v>1.0605730698529456</v>
      </c>
      <c r="Q434" s="175">
        <f t="shared" si="156"/>
        <v>125519.23999999836</v>
      </c>
      <c r="R434" s="176">
        <f t="shared" si="157"/>
        <v>1.0068451585803473</v>
      </c>
      <c r="S434" s="175">
        <f t="shared" si="160"/>
        <v>1804152.4800000004</v>
      </c>
      <c r="T434" s="177">
        <f t="shared" si="161"/>
        <v>1.1083034942804308</v>
      </c>
      <c r="U434" s="175">
        <f t="shared" si="162"/>
        <v>-1678633.2400000021</v>
      </c>
      <c r="V434" s="177">
        <f t="shared" si="163"/>
        <v>0.90845617989686511</v>
      </c>
      <c r="W434" s="157">
        <f t="shared" si="164"/>
        <v>4</v>
      </c>
    </row>
    <row r="435" spans="1:23" ht="11.25" customHeight="1" x14ac:dyDescent="0.25">
      <c r="A435" s="26" t="s">
        <v>1319</v>
      </c>
      <c r="B435" s="282">
        <f t="shared" si="158"/>
        <v>7</v>
      </c>
      <c r="C435" s="26"/>
      <c r="D435" s="23"/>
      <c r="E435" s="23"/>
      <c r="F435" s="379" t="s">
        <v>448</v>
      </c>
      <c r="G435" s="380"/>
      <c r="H435" s="25">
        <f t="shared" ref="H435:L435" si="180">SUM(H436)</f>
        <v>13726.05</v>
      </c>
      <c r="I435" s="25">
        <f t="shared" si="180"/>
        <v>9819.2199999999993</v>
      </c>
      <c r="J435" s="129">
        <f t="shared" si="180"/>
        <v>0</v>
      </c>
      <c r="K435" s="129">
        <f t="shared" si="180"/>
        <v>8061.3</v>
      </c>
      <c r="L435" s="140">
        <f t="shared" si="180"/>
        <v>0</v>
      </c>
      <c r="O435" s="88">
        <f t="shared" si="154"/>
        <v>0</v>
      </c>
      <c r="P435" s="123" t="str">
        <f t="shared" si="155"/>
        <v/>
      </c>
      <c r="Q435" s="88">
        <f t="shared" si="156"/>
        <v>9819.2199999999993</v>
      </c>
      <c r="R435" s="123">
        <f t="shared" si="157"/>
        <v>0</v>
      </c>
      <c r="S435" s="88">
        <f t="shared" si="160"/>
        <v>8061.3</v>
      </c>
      <c r="T435" s="124">
        <f t="shared" si="161"/>
        <v>0</v>
      </c>
      <c r="U435" s="88">
        <f t="shared" si="162"/>
        <v>1757.9199999999992</v>
      </c>
      <c r="V435" s="124">
        <f t="shared" si="163"/>
        <v>0.82097152319634359</v>
      </c>
      <c r="W435" s="157">
        <f t="shared" si="164"/>
        <v>7</v>
      </c>
    </row>
    <row r="436" spans="1:23" ht="11.25" customHeight="1" x14ac:dyDescent="0.25">
      <c r="A436" s="42" t="s">
        <v>1320</v>
      </c>
      <c r="B436" s="282">
        <f t="shared" si="158"/>
        <v>11</v>
      </c>
      <c r="C436" s="14"/>
      <c r="D436" s="13"/>
      <c r="E436" s="13"/>
      <c r="F436" s="373" t="s">
        <v>449</v>
      </c>
      <c r="G436" s="374"/>
      <c r="H436" s="11">
        <v>13726.05</v>
      </c>
      <c r="I436" s="11">
        <v>9819.2199999999993</v>
      </c>
      <c r="J436" s="336">
        <v>0</v>
      </c>
      <c r="K436" s="130">
        <v>8061.3</v>
      </c>
      <c r="L436" s="141"/>
      <c r="O436" s="88">
        <f t="shared" si="154"/>
        <v>0</v>
      </c>
      <c r="P436" s="123" t="str">
        <f t="shared" si="155"/>
        <v/>
      </c>
      <c r="Q436" s="88">
        <f t="shared" si="156"/>
        <v>9819.2199999999993</v>
      </c>
      <c r="R436" s="123">
        <f t="shared" si="157"/>
        <v>0</v>
      </c>
      <c r="S436" s="88">
        <f t="shared" si="160"/>
        <v>8061.3</v>
      </c>
      <c r="T436" s="124">
        <f t="shared" si="161"/>
        <v>0</v>
      </c>
      <c r="U436" s="88">
        <f t="shared" si="162"/>
        <v>1757.9199999999992</v>
      </c>
      <c r="V436" s="124">
        <f t="shared" si="163"/>
        <v>0.82097152319634359</v>
      </c>
      <c r="W436" s="157">
        <f t="shared" si="164"/>
        <v>11</v>
      </c>
    </row>
    <row r="437" spans="1:23" ht="11.25" customHeight="1" x14ac:dyDescent="0.25">
      <c r="A437" s="26" t="s">
        <v>1321</v>
      </c>
      <c r="B437" s="282">
        <f t="shared" si="158"/>
        <v>7</v>
      </c>
      <c r="C437" s="26"/>
      <c r="D437" s="23"/>
      <c r="E437" s="23"/>
      <c r="F437" s="379" t="s">
        <v>450</v>
      </c>
      <c r="G437" s="380"/>
      <c r="H437" s="25">
        <f t="shared" ref="H437:L437" si="181">SUM(H438:H439)</f>
        <v>-1085119.72</v>
      </c>
      <c r="I437" s="25">
        <f t="shared" si="181"/>
        <v>-490077.41000000003</v>
      </c>
      <c r="J437" s="129">
        <f t="shared" si="181"/>
        <v>0</v>
      </c>
      <c r="K437" s="129">
        <f t="shared" si="181"/>
        <v>-572987.93000000005</v>
      </c>
      <c r="L437" s="140">
        <f t="shared" si="181"/>
        <v>0</v>
      </c>
      <c r="O437" s="88">
        <f t="shared" si="154"/>
        <v>0</v>
      </c>
      <c r="P437" s="123" t="str">
        <f t="shared" si="155"/>
        <v/>
      </c>
      <c r="Q437" s="88">
        <f t="shared" si="156"/>
        <v>-490077.41000000003</v>
      </c>
      <c r="R437" s="123">
        <f t="shared" si="157"/>
        <v>0</v>
      </c>
      <c r="S437" s="88">
        <f t="shared" si="160"/>
        <v>-572987.93000000005</v>
      </c>
      <c r="T437" s="124">
        <f t="shared" si="161"/>
        <v>0</v>
      </c>
      <c r="U437" s="88">
        <f t="shared" si="162"/>
        <v>82910.520000000019</v>
      </c>
      <c r="V437" s="124">
        <f t="shared" si="163"/>
        <v>1.1691784161200167</v>
      </c>
      <c r="W437" s="157">
        <f t="shared" si="164"/>
        <v>7</v>
      </c>
    </row>
    <row r="438" spans="1:23" ht="11.25" customHeight="1" x14ac:dyDescent="0.25">
      <c r="A438" s="42" t="s">
        <v>1322</v>
      </c>
      <c r="B438" s="282">
        <f t="shared" si="158"/>
        <v>11</v>
      </c>
      <c r="C438" s="28" t="s">
        <v>916</v>
      </c>
      <c r="D438" s="20" t="s">
        <v>919</v>
      </c>
      <c r="E438" s="28" t="s">
        <v>1089</v>
      </c>
      <c r="F438" s="373" t="s">
        <v>451</v>
      </c>
      <c r="G438" s="374"/>
      <c r="H438" s="11">
        <v>-874797.69</v>
      </c>
      <c r="I438" s="11">
        <v>-431795.34</v>
      </c>
      <c r="J438" s="336">
        <v>0</v>
      </c>
      <c r="K438" s="130">
        <v>-572987.93000000005</v>
      </c>
      <c r="L438" s="142">
        <v>0</v>
      </c>
      <c r="O438" s="88">
        <f t="shared" si="154"/>
        <v>0</v>
      </c>
      <c r="P438" s="123" t="str">
        <f t="shared" si="155"/>
        <v/>
      </c>
      <c r="Q438" s="88">
        <f t="shared" si="156"/>
        <v>-431795.34</v>
      </c>
      <c r="R438" s="123">
        <f t="shared" si="157"/>
        <v>0</v>
      </c>
      <c r="S438" s="88">
        <f t="shared" si="160"/>
        <v>-572987.93000000005</v>
      </c>
      <c r="T438" s="124">
        <f t="shared" si="161"/>
        <v>0</v>
      </c>
      <c r="U438" s="88">
        <f t="shared" si="162"/>
        <v>141192.59000000003</v>
      </c>
      <c r="V438" s="124">
        <f t="shared" si="163"/>
        <v>1.326989610402002</v>
      </c>
      <c r="W438" s="157">
        <f t="shared" si="164"/>
        <v>11</v>
      </c>
    </row>
    <row r="439" spans="1:23" ht="11.25" customHeight="1" x14ac:dyDescent="0.25">
      <c r="A439" s="42" t="s">
        <v>1323</v>
      </c>
      <c r="B439" s="282">
        <f t="shared" si="158"/>
        <v>11</v>
      </c>
      <c r="C439" s="20" t="s">
        <v>916</v>
      </c>
      <c r="D439" s="20" t="s">
        <v>923</v>
      </c>
      <c r="E439" s="20" t="s">
        <v>1648</v>
      </c>
      <c r="F439" s="373" t="s">
        <v>452</v>
      </c>
      <c r="G439" s="374"/>
      <c r="H439" s="11">
        <v>-210322.03</v>
      </c>
      <c r="I439" s="11">
        <v>-58282.07</v>
      </c>
      <c r="J439" s="336">
        <v>0</v>
      </c>
      <c r="K439" s="130">
        <v>0</v>
      </c>
      <c r="L439" s="141"/>
      <c r="O439" s="88">
        <f t="shared" si="154"/>
        <v>0</v>
      </c>
      <c r="P439" s="123" t="str">
        <f t="shared" si="155"/>
        <v/>
      </c>
      <c r="Q439" s="88">
        <f t="shared" si="156"/>
        <v>-58282.07</v>
      </c>
      <c r="R439" s="123">
        <f t="shared" si="157"/>
        <v>0</v>
      </c>
      <c r="S439" s="88">
        <f t="shared" si="160"/>
        <v>0</v>
      </c>
      <c r="T439" s="124" t="str">
        <f t="shared" si="161"/>
        <v/>
      </c>
      <c r="U439" s="88">
        <f t="shared" si="162"/>
        <v>-58282.07</v>
      </c>
      <c r="V439" s="124">
        <f t="shared" si="163"/>
        <v>0</v>
      </c>
      <c r="W439" s="157">
        <f t="shared" si="164"/>
        <v>11</v>
      </c>
    </row>
    <row r="440" spans="1:23" ht="11.25" customHeight="1" x14ac:dyDescent="0.25">
      <c r="A440" s="26" t="s">
        <v>1324</v>
      </c>
      <c r="B440" s="282">
        <f t="shared" si="158"/>
        <v>7</v>
      </c>
      <c r="C440" s="26"/>
      <c r="D440" s="23"/>
      <c r="E440" s="23"/>
      <c r="F440" s="379" t="s">
        <v>453</v>
      </c>
      <c r="G440" s="380"/>
      <c r="H440" s="25">
        <f t="shared" ref="H440:L440" si="182">SUM(H441:H443)</f>
        <v>2687131.98</v>
      </c>
      <c r="I440" s="25">
        <f t="shared" si="182"/>
        <v>2646627.9</v>
      </c>
      <c r="J440" s="129">
        <f t="shared" si="182"/>
        <v>2500000</v>
      </c>
      <c r="K440" s="129">
        <f t="shared" si="182"/>
        <v>3890147.32</v>
      </c>
      <c r="L440" s="140">
        <f t="shared" si="182"/>
        <v>2800000</v>
      </c>
      <c r="O440" s="88">
        <f t="shared" si="154"/>
        <v>-300000</v>
      </c>
      <c r="P440" s="123">
        <f t="shared" si="155"/>
        <v>1.1200000000000001</v>
      </c>
      <c r="Q440" s="88">
        <f t="shared" si="156"/>
        <v>-153372.10000000009</v>
      </c>
      <c r="R440" s="123">
        <f t="shared" si="157"/>
        <v>1.0579500049855894</v>
      </c>
      <c r="S440" s="88">
        <f t="shared" si="160"/>
        <v>1090147.3199999998</v>
      </c>
      <c r="T440" s="124">
        <f t="shared" si="161"/>
        <v>0.71976708583879545</v>
      </c>
      <c r="U440" s="88">
        <f t="shared" si="162"/>
        <v>-1243519.42</v>
      </c>
      <c r="V440" s="124">
        <f t="shared" si="163"/>
        <v>1.4698504916388133</v>
      </c>
      <c r="W440" s="157">
        <f t="shared" si="164"/>
        <v>7</v>
      </c>
    </row>
    <row r="441" spans="1:23" ht="11.25" customHeight="1" x14ac:dyDescent="0.25">
      <c r="A441" s="42" t="s">
        <v>1325</v>
      </c>
      <c r="B441" s="282">
        <f t="shared" si="158"/>
        <v>11</v>
      </c>
      <c r="C441" s="27" t="s">
        <v>916</v>
      </c>
      <c r="D441" s="28" t="s">
        <v>923</v>
      </c>
      <c r="E441" s="28" t="s">
        <v>1643</v>
      </c>
      <c r="F441" s="373" t="s">
        <v>454</v>
      </c>
      <c r="G441" s="374"/>
      <c r="H441" s="11">
        <v>2411763.25</v>
      </c>
      <c r="I441" s="11">
        <v>2646627.9</v>
      </c>
      <c r="J441" s="336">
        <v>2500000</v>
      </c>
      <c r="K441" s="130">
        <v>3890156.31</v>
      </c>
      <c r="L441" s="142">
        <v>2800000</v>
      </c>
      <c r="O441" s="88">
        <f t="shared" si="154"/>
        <v>-300000</v>
      </c>
      <c r="P441" s="123">
        <f t="shared" si="155"/>
        <v>1.1200000000000001</v>
      </c>
      <c r="Q441" s="88">
        <f t="shared" si="156"/>
        <v>-153372.10000000009</v>
      </c>
      <c r="R441" s="123">
        <f t="shared" si="157"/>
        <v>1.0579500049855894</v>
      </c>
      <c r="S441" s="88">
        <f t="shared" si="160"/>
        <v>1090156.31</v>
      </c>
      <c r="T441" s="124">
        <f t="shared" si="161"/>
        <v>0.7197654224850415</v>
      </c>
      <c r="U441" s="88">
        <f t="shared" si="162"/>
        <v>-1243528.4100000001</v>
      </c>
      <c r="V441" s="124">
        <f t="shared" si="163"/>
        <v>1.469853888414008</v>
      </c>
      <c r="W441" s="157">
        <f t="shared" si="164"/>
        <v>11</v>
      </c>
    </row>
    <row r="442" spans="1:23" ht="11.25" customHeight="1" x14ac:dyDescent="0.25">
      <c r="A442" s="42" t="s">
        <v>1326</v>
      </c>
      <c r="B442" s="282">
        <f t="shared" si="158"/>
        <v>11</v>
      </c>
      <c r="C442" s="27"/>
      <c r="D442" s="28"/>
      <c r="E442" s="28"/>
      <c r="F442" s="373" t="s">
        <v>455</v>
      </c>
      <c r="G442" s="374"/>
      <c r="H442" s="11">
        <v>34.729999999999997</v>
      </c>
      <c r="I442" s="11">
        <v>0</v>
      </c>
      <c r="J442" s="336">
        <v>0</v>
      </c>
      <c r="K442" s="130">
        <v>-8.99</v>
      </c>
      <c r="L442" s="141"/>
      <c r="O442" s="88">
        <f t="shared" si="154"/>
        <v>0</v>
      </c>
      <c r="P442" s="123" t="str">
        <f t="shared" si="155"/>
        <v/>
      </c>
      <c r="Q442" s="88">
        <f t="shared" si="156"/>
        <v>0</v>
      </c>
      <c r="R442" s="123" t="str">
        <f t="shared" si="157"/>
        <v/>
      </c>
      <c r="S442" s="88">
        <f t="shared" si="160"/>
        <v>-8.99</v>
      </c>
      <c r="T442" s="124">
        <f t="shared" si="161"/>
        <v>0</v>
      </c>
      <c r="U442" s="88">
        <f t="shared" si="162"/>
        <v>8.99</v>
      </c>
      <c r="V442" s="124" t="str">
        <f t="shared" si="163"/>
        <v/>
      </c>
      <c r="W442" s="157">
        <f t="shared" si="164"/>
        <v>11</v>
      </c>
    </row>
    <row r="443" spans="1:23" ht="11.25" customHeight="1" x14ac:dyDescent="0.25">
      <c r="A443" s="42" t="s">
        <v>1327</v>
      </c>
      <c r="B443" s="282">
        <f t="shared" si="158"/>
        <v>11</v>
      </c>
      <c r="C443" s="27"/>
      <c r="D443" s="28"/>
      <c r="E443" s="28"/>
      <c r="F443" s="373" t="s">
        <v>456</v>
      </c>
      <c r="G443" s="374"/>
      <c r="H443" s="11">
        <v>275334</v>
      </c>
      <c r="I443" s="11">
        <v>0</v>
      </c>
      <c r="J443" s="336">
        <v>0</v>
      </c>
      <c r="K443" s="130">
        <v>0</v>
      </c>
      <c r="L443" s="141"/>
      <c r="O443" s="88">
        <f t="shared" si="154"/>
        <v>0</v>
      </c>
      <c r="P443" s="123" t="str">
        <f t="shared" si="155"/>
        <v/>
      </c>
      <c r="Q443" s="88">
        <f t="shared" si="156"/>
        <v>0</v>
      </c>
      <c r="R443" s="123" t="str">
        <f t="shared" si="157"/>
        <v/>
      </c>
      <c r="S443" s="88">
        <f t="shared" si="160"/>
        <v>0</v>
      </c>
      <c r="T443" s="124" t="str">
        <f t="shared" si="161"/>
        <v/>
      </c>
      <c r="U443" s="88">
        <f t="shared" si="162"/>
        <v>0</v>
      </c>
      <c r="V443" s="124" t="str">
        <f t="shared" si="163"/>
        <v/>
      </c>
      <c r="W443" s="157">
        <f t="shared" si="164"/>
        <v>11</v>
      </c>
    </row>
    <row r="444" spans="1:23" ht="11.25" customHeight="1" x14ac:dyDescent="0.25">
      <c r="A444" s="26" t="s">
        <v>1328</v>
      </c>
      <c r="B444" s="282">
        <f t="shared" si="158"/>
        <v>7</v>
      </c>
      <c r="C444" s="31"/>
      <c r="D444" s="32"/>
      <c r="E444" s="32"/>
      <c r="F444" s="379" t="s">
        <v>457</v>
      </c>
      <c r="G444" s="380"/>
      <c r="H444" s="25">
        <f>SUM(H445)</f>
        <v>0</v>
      </c>
      <c r="I444" s="25">
        <f>SUM(I445)</f>
        <v>-64940</v>
      </c>
      <c r="J444" s="129">
        <f>SUM(J445)</f>
        <v>0</v>
      </c>
      <c r="K444" s="129">
        <f t="shared" ref="K444:L444" si="183">SUM(K445)</f>
        <v>0</v>
      </c>
      <c r="L444" s="140">
        <f t="shared" si="183"/>
        <v>0</v>
      </c>
      <c r="O444" s="88">
        <f t="shared" si="154"/>
        <v>0</v>
      </c>
      <c r="P444" s="123" t="str">
        <f t="shared" si="155"/>
        <v/>
      </c>
      <c r="Q444" s="88">
        <f t="shared" si="156"/>
        <v>-64940</v>
      </c>
      <c r="R444" s="123">
        <f t="shared" si="157"/>
        <v>0</v>
      </c>
      <c r="S444" s="88">
        <f t="shared" si="160"/>
        <v>0</v>
      </c>
      <c r="T444" s="124" t="str">
        <f t="shared" si="161"/>
        <v/>
      </c>
      <c r="U444" s="88">
        <f t="shared" si="162"/>
        <v>-64940</v>
      </c>
      <c r="V444" s="124">
        <f t="shared" si="163"/>
        <v>0</v>
      </c>
      <c r="W444" s="157">
        <f t="shared" si="164"/>
        <v>7</v>
      </c>
    </row>
    <row r="445" spans="1:23" ht="11.25" customHeight="1" x14ac:dyDescent="0.25">
      <c r="A445" s="42" t="s">
        <v>1329</v>
      </c>
      <c r="B445" s="282">
        <f t="shared" si="158"/>
        <v>11</v>
      </c>
      <c r="C445" s="14"/>
      <c r="D445" s="13"/>
      <c r="E445" s="13"/>
      <c r="F445" s="373" t="s">
        <v>458</v>
      </c>
      <c r="G445" s="374"/>
      <c r="H445" s="11">
        <v>0</v>
      </c>
      <c r="I445" s="11">
        <v>-64940</v>
      </c>
      <c r="J445" s="336">
        <v>0</v>
      </c>
      <c r="K445" s="130">
        <v>0</v>
      </c>
      <c r="L445" s="141"/>
      <c r="O445" s="88">
        <f t="shared" si="154"/>
        <v>0</v>
      </c>
      <c r="P445" s="123" t="str">
        <f t="shared" si="155"/>
        <v/>
      </c>
      <c r="Q445" s="88">
        <f t="shared" si="156"/>
        <v>-64940</v>
      </c>
      <c r="R445" s="123">
        <f t="shared" si="157"/>
        <v>0</v>
      </c>
      <c r="S445" s="88">
        <f t="shared" si="160"/>
        <v>0</v>
      </c>
      <c r="T445" s="124" t="str">
        <f t="shared" si="161"/>
        <v/>
      </c>
      <c r="U445" s="88">
        <f t="shared" si="162"/>
        <v>-64940</v>
      </c>
      <c r="V445" s="124">
        <f t="shared" si="163"/>
        <v>0</v>
      </c>
      <c r="W445" s="157">
        <f t="shared" si="164"/>
        <v>11</v>
      </c>
    </row>
    <row r="446" spans="1:23" ht="11.25" customHeight="1" x14ac:dyDescent="0.25">
      <c r="A446" s="26" t="s">
        <v>1330</v>
      </c>
      <c r="B446" s="282">
        <f t="shared" si="158"/>
        <v>7</v>
      </c>
      <c r="C446" s="26"/>
      <c r="D446" s="23"/>
      <c r="E446" s="23"/>
      <c r="F446" s="379" t="s">
        <v>459</v>
      </c>
      <c r="G446" s="380"/>
      <c r="H446" s="25">
        <f t="shared" ref="H446:L446" si="184">SUM(H447:H460)</f>
        <v>-6233370.5500000007</v>
      </c>
      <c r="I446" s="25">
        <f t="shared" si="184"/>
        <v>-6767282.6899999995</v>
      </c>
      <c r="J446" s="129">
        <f t="shared" si="184"/>
        <v>-7330999.9999999888</v>
      </c>
      <c r="K446" s="129">
        <f t="shared" si="184"/>
        <v>-6196485.9899999993</v>
      </c>
      <c r="L446" s="140">
        <f t="shared" si="184"/>
        <v>-5672000</v>
      </c>
      <c r="O446" s="88">
        <f t="shared" si="154"/>
        <v>-1658999.9999999888</v>
      </c>
      <c r="P446" s="123">
        <f t="shared" si="155"/>
        <v>0.77370072295730574</v>
      </c>
      <c r="Q446" s="88">
        <f t="shared" si="156"/>
        <v>-1095282.6899999995</v>
      </c>
      <c r="R446" s="123">
        <f t="shared" si="157"/>
        <v>0.83815029751623993</v>
      </c>
      <c r="S446" s="88">
        <f t="shared" si="160"/>
        <v>-524485.98999999929</v>
      </c>
      <c r="T446" s="124">
        <f t="shared" si="161"/>
        <v>0.91535751216957095</v>
      </c>
      <c r="U446" s="88">
        <f t="shared" si="162"/>
        <v>-570796.70000000019</v>
      </c>
      <c r="V446" s="124">
        <f t="shared" si="163"/>
        <v>0.91565348661384205</v>
      </c>
      <c r="W446" s="157">
        <f t="shared" si="164"/>
        <v>7</v>
      </c>
    </row>
    <row r="447" spans="1:23" ht="11.25" customHeight="1" x14ac:dyDescent="0.25">
      <c r="A447" s="42" t="s">
        <v>1331</v>
      </c>
      <c r="B447" s="282">
        <f t="shared" si="158"/>
        <v>11</v>
      </c>
      <c r="C447" s="27" t="s">
        <v>916</v>
      </c>
      <c r="D447" s="28" t="s">
        <v>919</v>
      </c>
      <c r="E447" s="28" t="s">
        <v>917</v>
      </c>
      <c r="F447" s="373" t="s">
        <v>460</v>
      </c>
      <c r="G447" s="374"/>
      <c r="H447" s="11">
        <v>0</v>
      </c>
      <c r="I447" s="11">
        <v>-97890</v>
      </c>
      <c r="J447" s="336">
        <v>0</v>
      </c>
      <c r="K447" s="130">
        <v>6302</v>
      </c>
      <c r="L447" s="142">
        <v>0</v>
      </c>
      <c r="O447" s="88">
        <f t="shared" si="154"/>
        <v>0</v>
      </c>
      <c r="P447" s="123" t="str">
        <f t="shared" si="155"/>
        <v/>
      </c>
      <c r="Q447" s="88">
        <f t="shared" si="156"/>
        <v>-97890</v>
      </c>
      <c r="R447" s="123">
        <f t="shared" si="157"/>
        <v>0</v>
      </c>
      <c r="S447" s="88">
        <f t="shared" si="160"/>
        <v>6302</v>
      </c>
      <c r="T447" s="124">
        <f t="shared" si="161"/>
        <v>0</v>
      </c>
      <c r="U447" s="88">
        <f t="shared" si="162"/>
        <v>-104192</v>
      </c>
      <c r="V447" s="124">
        <f t="shared" si="163"/>
        <v>-6.4378383900296252E-2</v>
      </c>
      <c r="W447" s="157">
        <f t="shared" si="164"/>
        <v>11</v>
      </c>
    </row>
    <row r="448" spans="1:23" ht="11.25" customHeight="1" x14ac:dyDescent="0.25">
      <c r="A448" s="42" t="s">
        <v>1332</v>
      </c>
      <c r="B448" s="282">
        <f t="shared" si="158"/>
        <v>11</v>
      </c>
      <c r="C448" s="27" t="s">
        <v>916</v>
      </c>
      <c r="D448" s="28" t="s">
        <v>919</v>
      </c>
      <c r="E448" s="28" t="s">
        <v>917</v>
      </c>
      <c r="F448" s="373" t="s">
        <v>461</v>
      </c>
      <c r="G448" s="374"/>
      <c r="H448" s="11">
        <v>-324271.96000000002</v>
      </c>
      <c r="I448" s="11">
        <v>-327104.61</v>
      </c>
      <c r="J448" s="336">
        <v>-1880000</v>
      </c>
      <c r="K448" s="130">
        <v>-225026.17</v>
      </c>
      <c r="L448" s="142">
        <v>-240000</v>
      </c>
      <c r="O448" s="88">
        <f t="shared" si="154"/>
        <v>-1640000</v>
      </c>
      <c r="P448" s="123">
        <f t="shared" si="155"/>
        <v>0.1276595744680851</v>
      </c>
      <c r="Q448" s="88">
        <f t="shared" si="156"/>
        <v>-87104.609999999986</v>
      </c>
      <c r="R448" s="123">
        <f t="shared" si="157"/>
        <v>0.73371023416637271</v>
      </c>
      <c r="S448" s="88">
        <f t="shared" si="160"/>
        <v>14973.829999999987</v>
      </c>
      <c r="T448" s="124">
        <f t="shared" si="161"/>
        <v>1.0665426159099627</v>
      </c>
      <c r="U448" s="88">
        <f t="shared" si="162"/>
        <v>-102078.43999999997</v>
      </c>
      <c r="V448" s="124">
        <f t="shared" si="163"/>
        <v>0.68793334951775831</v>
      </c>
      <c r="W448" s="157">
        <f t="shared" si="164"/>
        <v>11</v>
      </c>
    </row>
    <row r="449" spans="1:23" ht="11.25" customHeight="1" x14ac:dyDescent="0.25">
      <c r="A449" s="42" t="s">
        <v>1333</v>
      </c>
      <c r="B449" s="282">
        <f t="shared" si="158"/>
        <v>11</v>
      </c>
      <c r="C449" s="14"/>
      <c r="D449" s="13"/>
      <c r="E449" s="13"/>
      <c r="F449" s="373" t="s">
        <v>462</v>
      </c>
      <c r="G449" s="374"/>
      <c r="H449" s="11">
        <v>-265939.88</v>
      </c>
      <c r="I449" s="11">
        <v>-388333.31</v>
      </c>
      <c r="J449" s="336">
        <v>0</v>
      </c>
      <c r="K449" s="130">
        <v>-447387.63</v>
      </c>
      <c r="L449" s="141"/>
      <c r="O449" s="88">
        <f t="shared" si="154"/>
        <v>0</v>
      </c>
      <c r="P449" s="123" t="str">
        <f t="shared" si="155"/>
        <v/>
      </c>
      <c r="Q449" s="88">
        <f t="shared" si="156"/>
        <v>-388333.31</v>
      </c>
      <c r="R449" s="123">
        <f t="shared" si="157"/>
        <v>0</v>
      </c>
      <c r="S449" s="88">
        <f t="shared" si="160"/>
        <v>-447387.63</v>
      </c>
      <c r="T449" s="124">
        <f t="shared" si="161"/>
        <v>0</v>
      </c>
      <c r="U449" s="88">
        <f t="shared" si="162"/>
        <v>59054.320000000007</v>
      </c>
      <c r="V449" s="124">
        <f t="shared" si="163"/>
        <v>1.1520712194377556</v>
      </c>
      <c r="W449" s="157">
        <f t="shared" si="164"/>
        <v>11</v>
      </c>
    </row>
    <row r="450" spans="1:23" ht="11.25" customHeight="1" x14ac:dyDescent="0.25">
      <c r="A450" s="42" t="s">
        <v>1334</v>
      </c>
      <c r="B450" s="282">
        <f t="shared" si="158"/>
        <v>11</v>
      </c>
      <c r="C450" s="14"/>
      <c r="D450" s="13"/>
      <c r="E450" s="13"/>
      <c r="F450" s="373" t="s">
        <v>463</v>
      </c>
      <c r="G450" s="374"/>
      <c r="H450" s="11">
        <v>14238.35</v>
      </c>
      <c r="I450" s="11">
        <v>31561.09</v>
      </c>
      <c r="J450" s="336">
        <v>0</v>
      </c>
      <c r="K450" s="130">
        <v>12786.04</v>
      </c>
      <c r="L450" s="141"/>
      <c r="O450" s="88">
        <f t="shared" si="154"/>
        <v>0</v>
      </c>
      <c r="P450" s="123" t="str">
        <f t="shared" si="155"/>
        <v/>
      </c>
      <c r="Q450" s="88">
        <f t="shared" si="156"/>
        <v>31561.09</v>
      </c>
      <c r="R450" s="123">
        <f t="shared" si="157"/>
        <v>0</v>
      </c>
      <c r="S450" s="88">
        <f t="shared" si="160"/>
        <v>12786.04</v>
      </c>
      <c r="T450" s="124">
        <f t="shared" si="161"/>
        <v>0</v>
      </c>
      <c r="U450" s="88">
        <f t="shared" si="162"/>
        <v>18775.05</v>
      </c>
      <c r="V450" s="124">
        <f t="shared" si="163"/>
        <v>0.40512035547568226</v>
      </c>
      <c r="W450" s="157">
        <f t="shared" si="164"/>
        <v>11</v>
      </c>
    </row>
    <row r="451" spans="1:23" ht="11.25" customHeight="1" x14ac:dyDescent="0.25">
      <c r="A451" s="42" t="s">
        <v>1335</v>
      </c>
      <c r="B451" s="282">
        <f t="shared" si="158"/>
        <v>11</v>
      </c>
      <c r="C451" s="27" t="s">
        <v>916</v>
      </c>
      <c r="D451" s="28" t="s">
        <v>923</v>
      </c>
      <c r="E451" s="28" t="s">
        <v>917</v>
      </c>
      <c r="F451" s="373" t="s">
        <v>464</v>
      </c>
      <c r="G451" s="374"/>
      <c r="H451" s="11">
        <v>-77086</v>
      </c>
      <c r="I451" s="11">
        <v>-75539</v>
      </c>
      <c r="J451" s="336">
        <v>-79999.999999993001</v>
      </c>
      <c r="K451" s="130">
        <v>-68416</v>
      </c>
      <c r="L451" s="142">
        <v>-70000</v>
      </c>
      <c r="O451" s="88">
        <f t="shared" si="154"/>
        <v>-9999.9999999930005</v>
      </c>
      <c r="P451" s="123">
        <f t="shared" si="155"/>
        <v>0.87500000000007661</v>
      </c>
      <c r="Q451" s="88">
        <f t="shared" si="156"/>
        <v>-5539</v>
      </c>
      <c r="R451" s="123">
        <f t="shared" si="157"/>
        <v>0.92667363878261555</v>
      </c>
      <c r="S451" s="88">
        <f t="shared" si="160"/>
        <v>1584</v>
      </c>
      <c r="T451" s="124">
        <f t="shared" si="161"/>
        <v>1.0231524789522919</v>
      </c>
      <c r="U451" s="88">
        <f t="shared" si="162"/>
        <v>-7123</v>
      </c>
      <c r="V451" s="124">
        <f t="shared" si="163"/>
        <v>0.90570433815644902</v>
      </c>
      <c r="W451" s="157">
        <f t="shared" si="164"/>
        <v>11</v>
      </c>
    </row>
    <row r="452" spans="1:23" ht="11.25" customHeight="1" x14ac:dyDescent="0.25">
      <c r="A452" s="42" t="s">
        <v>1336</v>
      </c>
      <c r="B452" s="282">
        <f t="shared" si="158"/>
        <v>11</v>
      </c>
      <c r="C452" s="20" t="s">
        <v>1243</v>
      </c>
      <c r="D452" s="20" t="s">
        <v>920</v>
      </c>
      <c r="E452" s="20" t="s">
        <v>1245</v>
      </c>
      <c r="F452" s="373" t="s">
        <v>465</v>
      </c>
      <c r="G452" s="374"/>
      <c r="H452" s="11">
        <v>-812173.4</v>
      </c>
      <c r="I452" s="11">
        <v>-825880.49</v>
      </c>
      <c r="J452" s="336">
        <v>-1500000</v>
      </c>
      <c r="K452" s="130">
        <v>-947182.83</v>
      </c>
      <c r="L452" s="142">
        <v>-1510000</v>
      </c>
      <c r="O452" s="88">
        <f t="shared" si="154"/>
        <v>10000</v>
      </c>
      <c r="P452" s="123">
        <f t="shared" si="155"/>
        <v>1.0066666666666666</v>
      </c>
      <c r="Q452" s="88">
        <f t="shared" si="156"/>
        <v>684119.51</v>
      </c>
      <c r="R452" s="123">
        <f t="shared" si="157"/>
        <v>1.8283517025568676</v>
      </c>
      <c r="S452" s="88">
        <f t="shared" si="160"/>
        <v>562817.17000000004</v>
      </c>
      <c r="T452" s="124">
        <f t="shared" si="161"/>
        <v>1.5942011955601012</v>
      </c>
      <c r="U452" s="88">
        <f t="shared" si="162"/>
        <v>121302.33999999997</v>
      </c>
      <c r="V452" s="124">
        <f t="shared" si="163"/>
        <v>1.1468763840153191</v>
      </c>
      <c r="W452" s="157">
        <f t="shared" si="164"/>
        <v>11</v>
      </c>
    </row>
    <row r="453" spans="1:23" ht="11.25" customHeight="1" x14ac:dyDescent="0.25">
      <c r="A453" s="42" t="s">
        <v>1337</v>
      </c>
      <c r="B453" s="282">
        <f t="shared" si="158"/>
        <v>11</v>
      </c>
      <c r="C453" s="20" t="s">
        <v>1243</v>
      </c>
      <c r="D453" s="20" t="s">
        <v>920</v>
      </c>
      <c r="E453" s="20" t="s">
        <v>1245</v>
      </c>
      <c r="F453" s="373" t="s">
        <v>466</v>
      </c>
      <c r="G453" s="374"/>
      <c r="H453" s="11">
        <v>-2193636</v>
      </c>
      <c r="I453" s="11">
        <v>-1927768.29</v>
      </c>
      <c r="J453" s="336">
        <v>-2100000</v>
      </c>
      <c r="K453" s="130">
        <v>-1902727.15</v>
      </c>
      <c r="L453" s="142">
        <v>-2112000</v>
      </c>
      <c r="O453" s="88">
        <f t="shared" si="154"/>
        <v>12000</v>
      </c>
      <c r="P453" s="123">
        <f t="shared" si="155"/>
        <v>1.0057142857142858</v>
      </c>
      <c r="Q453" s="88">
        <f t="shared" si="156"/>
        <v>184231.70999999996</v>
      </c>
      <c r="R453" s="123">
        <f t="shared" si="157"/>
        <v>1.0955673516136111</v>
      </c>
      <c r="S453" s="88">
        <f t="shared" si="160"/>
        <v>209272.85000000009</v>
      </c>
      <c r="T453" s="124">
        <f t="shared" si="161"/>
        <v>1.1099857381022813</v>
      </c>
      <c r="U453" s="88">
        <f t="shared" si="162"/>
        <v>-25041.14000000013</v>
      </c>
      <c r="V453" s="124">
        <f t="shared" si="163"/>
        <v>0.98701029572387033</v>
      </c>
      <c r="W453" s="157">
        <f t="shared" si="164"/>
        <v>11</v>
      </c>
    </row>
    <row r="454" spans="1:23" ht="11.25" customHeight="1" x14ac:dyDescent="0.25">
      <c r="A454" s="42" t="s">
        <v>1338</v>
      </c>
      <c r="B454" s="282">
        <f t="shared" si="158"/>
        <v>11</v>
      </c>
      <c r="C454" s="20" t="s">
        <v>1243</v>
      </c>
      <c r="D454" s="20" t="s">
        <v>920</v>
      </c>
      <c r="E454" s="20" t="s">
        <v>1245</v>
      </c>
      <c r="F454" s="373" t="s">
        <v>467</v>
      </c>
      <c r="G454" s="374"/>
      <c r="H454" s="11">
        <v>-297014.65000000002</v>
      </c>
      <c r="I454" s="11">
        <v>-535511.86</v>
      </c>
      <c r="J454" s="336">
        <v>-699999.99999999604</v>
      </c>
      <c r="K454" s="130">
        <v>-638887.93999999994</v>
      </c>
      <c r="L454" s="142">
        <v>-700000</v>
      </c>
      <c r="O454" s="88">
        <f t="shared" si="154"/>
        <v>3.9581209421157837E-9</v>
      </c>
      <c r="P454" s="123">
        <f t="shared" si="155"/>
        <v>1.0000000000000056</v>
      </c>
      <c r="Q454" s="88">
        <f t="shared" si="156"/>
        <v>164488.14000000001</v>
      </c>
      <c r="R454" s="123">
        <f t="shared" si="157"/>
        <v>1.3071605921108824</v>
      </c>
      <c r="S454" s="88">
        <f t="shared" si="160"/>
        <v>61112.060000000056</v>
      </c>
      <c r="T454" s="124">
        <f t="shared" si="161"/>
        <v>1.095653801197124</v>
      </c>
      <c r="U454" s="88">
        <f t="shared" si="162"/>
        <v>103376.07999999996</v>
      </c>
      <c r="V454" s="124">
        <f t="shared" si="163"/>
        <v>1.193041625632717</v>
      </c>
      <c r="W454" s="157">
        <f t="shared" si="164"/>
        <v>11</v>
      </c>
    </row>
    <row r="455" spans="1:23" ht="11.25" customHeight="1" x14ac:dyDescent="0.25">
      <c r="A455" s="42" t="s">
        <v>1339</v>
      </c>
      <c r="B455" s="282">
        <f t="shared" si="158"/>
        <v>11</v>
      </c>
      <c r="C455" s="20" t="s">
        <v>1243</v>
      </c>
      <c r="D455" s="20" t="s">
        <v>920</v>
      </c>
      <c r="E455" s="20" t="s">
        <v>1245</v>
      </c>
      <c r="F455" s="373" t="s">
        <v>468</v>
      </c>
      <c r="G455" s="374"/>
      <c r="H455" s="11">
        <v>-302008.93</v>
      </c>
      <c r="I455" s="11">
        <v>-438449.99</v>
      </c>
      <c r="J455" s="336">
        <v>-330000</v>
      </c>
      <c r="K455" s="130">
        <v>-861684.64</v>
      </c>
      <c r="L455" s="142">
        <v>-330000</v>
      </c>
      <c r="O455" s="88">
        <f t="shared" si="154"/>
        <v>0</v>
      </c>
      <c r="P455" s="123">
        <f t="shared" si="155"/>
        <v>1</v>
      </c>
      <c r="Q455" s="88">
        <f t="shared" si="156"/>
        <v>-108449.98999999999</v>
      </c>
      <c r="R455" s="123">
        <f t="shared" si="157"/>
        <v>0.75265140272896347</v>
      </c>
      <c r="S455" s="88">
        <f t="shared" si="160"/>
        <v>-531684.64</v>
      </c>
      <c r="T455" s="124">
        <f t="shared" si="161"/>
        <v>0.38297073509398982</v>
      </c>
      <c r="U455" s="88">
        <f t="shared" si="162"/>
        <v>423234.65</v>
      </c>
      <c r="V455" s="124">
        <f t="shared" si="163"/>
        <v>1.965297433351521</v>
      </c>
      <c r="W455" s="157">
        <f t="shared" si="164"/>
        <v>11</v>
      </c>
    </row>
    <row r="456" spans="1:23" ht="11.25" customHeight="1" x14ac:dyDescent="0.25">
      <c r="A456" s="42" t="s">
        <v>1340</v>
      </c>
      <c r="B456" s="282">
        <f t="shared" si="158"/>
        <v>11</v>
      </c>
      <c r="C456" s="14"/>
      <c r="D456" s="13"/>
      <c r="E456" s="13"/>
      <c r="F456" s="373" t="s">
        <v>469</v>
      </c>
      <c r="G456" s="374"/>
      <c r="H456" s="11">
        <v>-59513.45</v>
      </c>
      <c r="I456" s="11">
        <v>-65190.25</v>
      </c>
      <c r="J456" s="336">
        <v>0</v>
      </c>
      <c r="K456" s="130">
        <v>-64764.98</v>
      </c>
      <c r="L456" s="142">
        <v>0</v>
      </c>
      <c r="O456" s="88">
        <f t="shared" si="154"/>
        <v>0</v>
      </c>
      <c r="P456" s="123" t="str">
        <f t="shared" si="155"/>
        <v/>
      </c>
      <c r="Q456" s="88">
        <f t="shared" si="156"/>
        <v>-65190.25</v>
      </c>
      <c r="R456" s="123">
        <f t="shared" si="157"/>
        <v>0</v>
      </c>
      <c r="S456" s="88">
        <f t="shared" si="160"/>
        <v>-64764.98</v>
      </c>
      <c r="T456" s="124">
        <f t="shared" si="161"/>
        <v>0</v>
      </c>
      <c r="U456" s="88">
        <f t="shared" si="162"/>
        <v>-425.2699999999968</v>
      </c>
      <c r="V456" s="124">
        <f t="shared" si="163"/>
        <v>0.99347647846111964</v>
      </c>
      <c r="W456" s="157">
        <f t="shared" si="164"/>
        <v>11</v>
      </c>
    </row>
    <row r="457" spans="1:23" ht="11.25" customHeight="1" x14ac:dyDescent="0.25">
      <c r="A457" s="42" t="s">
        <v>1341</v>
      </c>
      <c r="B457" s="282">
        <f t="shared" si="158"/>
        <v>11</v>
      </c>
      <c r="C457" s="33" t="s">
        <v>916</v>
      </c>
      <c r="D457" s="20" t="s">
        <v>923</v>
      </c>
      <c r="E457" s="20" t="s">
        <v>917</v>
      </c>
      <c r="F457" s="373" t="s">
        <v>470</v>
      </c>
      <c r="G457" s="374"/>
      <c r="H457" s="11">
        <v>-186889.12</v>
      </c>
      <c r="I457" s="11">
        <v>-181278.46</v>
      </c>
      <c r="J457" s="336">
        <v>0</v>
      </c>
      <c r="K457" s="130">
        <v>-226882.24</v>
      </c>
      <c r="L457" s="142">
        <v>0</v>
      </c>
      <c r="O457" s="88">
        <f t="shared" si="154"/>
        <v>0</v>
      </c>
      <c r="P457" s="123" t="str">
        <f t="shared" si="155"/>
        <v/>
      </c>
      <c r="Q457" s="88">
        <f t="shared" si="156"/>
        <v>-181278.46</v>
      </c>
      <c r="R457" s="123">
        <f t="shared" si="157"/>
        <v>0</v>
      </c>
      <c r="S457" s="88">
        <f t="shared" si="160"/>
        <v>-226882.24</v>
      </c>
      <c r="T457" s="124">
        <f t="shared" si="161"/>
        <v>0</v>
      </c>
      <c r="U457" s="88">
        <f t="shared" si="162"/>
        <v>45603.78</v>
      </c>
      <c r="V457" s="124">
        <f t="shared" si="163"/>
        <v>1.2515675607570806</v>
      </c>
      <c r="W457" s="157">
        <f t="shared" si="164"/>
        <v>11</v>
      </c>
    </row>
    <row r="458" spans="1:23" ht="11.25" customHeight="1" x14ac:dyDescent="0.25">
      <c r="A458" s="42" t="s">
        <v>1342</v>
      </c>
      <c r="B458" s="282">
        <f t="shared" si="158"/>
        <v>11</v>
      </c>
      <c r="C458" s="14"/>
      <c r="D458" s="13"/>
      <c r="E458" s="13"/>
      <c r="F458" s="373" t="s">
        <v>471</v>
      </c>
      <c r="G458" s="374"/>
      <c r="H458" s="11">
        <v>-900000</v>
      </c>
      <c r="I458" s="11">
        <v>-1158631.5</v>
      </c>
      <c r="J458" s="336">
        <v>0</v>
      </c>
      <c r="K458" s="130">
        <v>-10000</v>
      </c>
      <c r="L458" s="141"/>
      <c r="O458" s="88">
        <f t="shared" si="154"/>
        <v>0</v>
      </c>
      <c r="P458" s="123" t="str">
        <f t="shared" si="155"/>
        <v/>
      </c>
      <c r="Q458" s="88">
        <f t="shared" si="156"/>
        <v>-1158631.5</v>
      </c>
      <c r="R458" s="123">
        <f t="shared" si="157"/>
        <v>0</v>
      </c>
      <c r="S458" s="88">
        <f t="shared" si="160"/>
        <v>-10000</v>
      </c>
      <c r="T458" s="124">
        <f t="shared" si="161"/>
        <v>0</v>
      </c>
      <c r="U458" s="88">
        <f t="shared" si="162"/>
        <v>-1148631.5</v>
      </c>
      <c r="V458" s="124">
        <f t="shared" si="163"/>
        <v>8.6308718518355483E-3</v>
      </c>
      <c r="W458" s="157">
        <f t="shared" si="164"/>
        <v>11</v>
      </c>
    </row>
    <row r="459" spans="1:23" ht="11.25" customHeight="1" x14ac:dyDescent="0.25">
      <c r="A459" s="42" t="s">
        <v>1343</v>
      </c>
      <c r="B459" s="282">
        <f t="shared" si="158"/>
        <v>11</v>
      </c>
      <c r="C459" s="27" t="s">
        <v>922</v>
      </c>
      <c r="D459" s="28" t="s">
        <v>923</v>
      </c>
      <c r="E459" s="28" t="s">
        <v>1249</v>
      </c>
      <c r="F459" s="373" t="s">
        <v>472</v>
      </c>
      <c r="G459" s="374"/>
      <c r="H459" s="11">
        <v>-767875.9</v>
      </c>
      <c r="I459" s="11">
        <v>-664012.85</v>
      </c>
      <c r="J459" s="336">
        <v>-741000</v>
      </c>
      <c r="K459" s="130">
        <v>-711462.93</v>
      </c>
      <c r="L459" s="142">
        <v>-710000</v>
      </c>
      <c r="O459" s="88">
        <f t="shared" ref="O459:O522" si="185">-L459+J459</f>
        <v>-31000</v>
      </c>
      <c r="P459" s="123">
        <f t="shared" ref="P459:P522" si="186">IF(J459=0,"",L459/J459)</f>
        <v>0.95816464237516874</v>
      </c>
      <c r="Q459" s="88">
        <f t="shared" ref="Q459:Q522" si="187">-L459+I459</f>
        <v>45987.150000000023</v>
      </c>
      <c r="R459" s="123">
        <f t="shared" ref="R459:R522" si="188">IF(I459=0,"",L459/I459)</f>
        <v>1.0692564157455688</v>
      </c>
      <c r="S459" s="88">
        <f t="shared" si="160"/>
        <v>-1462.9300000000512</v>
      </c>
      <c r="T459" s="124">
        <f t="shared" si="161"/>
        <v>0.99794377199666606</v>
      </c>
      <c r="U459" s="88">
        <f t="shared" si="162"/>
        <v>47450.080000000075</v>
      </c>
      <c r="V459" s="124">
        <f t="shared" si="163"/>
        <v>1.0714595809403389</v>
      </c>
      <c r="W459" s="157">
        <f t="shared" si="164"/>
        <v>11</v>
      </c>
    </row>
    <row r="460" spans="1:23" ht="11.25" customHeight="1" x14ac:dyDescent="0.25">
      <c r="A460" s="42" t="s">
        <v>1344</v>
      </c>
      <c r="B460" s="282">
        <f t="shared" ref="B460:B523" si="189">LEN(A460)</f>
        <v>11</v>
      </c>
      <c r="C460" s="14"/>
      <c r="D460" s="13"/>
      <c r="E460" s="13"/>
      <c r="F460" s="373" t="s">
        <v>473</v>
      </c>
      <c r="G460" s="374"/>
      <c r="H460" s="11">
        <v>-61199.61</v>
      </c>
      <c r="I460" s="11">
        <v>-113253.17</v>
      </c>
      <c r="J460" s="336">
        <v>0</v>
      </c>
      <c r="K460" s="130">
        <v>-111151.52</v>
      </c>
      <c r="L460" s="141"/>
      <c r="O460" s="88">
        <f t="shared" si="185"/>
        <v>0</v>
      </c>
      <c r="P460" s="123" t="str">
        <f t="shared" si="186"/>
        <v/>
      </c>
      <c r="Q460" s="88">
        <f t="shared" si="187"/>
        <v>-113253.17</v>
      </c>
      <c r="R460" s="123">
        <f t="shared" si="188"/>
        <v>0</v>
      </c>
      <c r="S460" s="88">
        <f t="shared" ref="S460:S523" si="190">-L460+K460</f>
        <v>-111151.52</v>
      </c>
      <c r="T460" s="124">
        <f t="shared" si="161"/>
        <v>0</v>
      </c>
      <c r="U460" s="88">
        <f t="shared" si="162"/>
        <v>-2101.6499999999942</v>
      </c>
      <c r="V460" s="124">
        <f t="shared" si="163"/>
        <v>0.98144290354080155</v>
      </c>
      <c r="W460" s="157">
        <f t="shared" si="164"/>
        <v>11</v>
      </c>
    </row>
    <row r="461" spans="1:23" ht="11.25" customHeight="1" x14ac:dyDescent="0.25">
      <c r="A461" s="26" t="s">
        <v>1345</v>
      </c>
      <c r="B461" s="282">
        <f t="shared" si="189"/>
        <v>7</v>
      </c>
      <c r="C461" s="26"/>
      <c r="D461" s="23"/>
      <c r="E461" s="23"/>
      <c r="F461" s="379" t="s">
        <v>474</v>
      </c>
      <c r="G461" s="380"/>
      <c r="H461" s="25">
        <f t="shared" ref="H461:L461" si="191">SUM(H462:H465)</f>
        <v>-6135123</v>
      </c>
      <c r="I461" s="25">
        <f t="shared" si="191"/>
        <v>-8995113</v>
      </c>
      <c r="J461" s="129">
        <f t="shared" si="191"/>
        <v>-9016999.9999999795</v>
      </c>
      <c r="K461" s="129">
        <f t="shared" si="191"/>
        <v>-8986515</v>
      </c>
      <c r="L461" s="140">
        <f t="shared" si="191"/>
        <v>-11237456</v>
      </c>
      <c r="O461" s="88">
        <f t="shared" si="185"/>
        <v>2220456.0000000205</v>
      </c>
      <c r="P461" s="123">
        <f t="shared" si="186"/>
        <v>1.2462521903072004</v>
      </c>
      <c r="Q461" s="88">
        <f t="shared" si="187"/>
        <v>2242343</v>
      </c>
      <c r="R461" s="123">
        <f t="shared" si="188"/>
        <v>1.2492845837511992</v>
      </c>
      <c r="S461" s="88">
        <f t="shared" si="190"/>
        <v>2250941</v>
      </c>
      <c r="T461" s="124">
        <f t="shared" ref="T461:T524" si="192">IF(K461=0,"",L461/K461)</f>
        <v>1.2504798578759397</v>
      </c>
      <c r="U461" s="88">
        <f t="shared" ref="U461:U524" si="193">-K461+I461</f>
        <v>-8598</v>
      </c>
      <c r="V461" s="124">
        <f t="shared" ref="V461:V524" si="194">IF(I461=0,"",K461/I461)</f>
        <v>0.99904414763883453</v>
      </c>
      <c r="W461" s="157">
        <f t="shared" si="164"/>
        <v>7</v>
      </c>
    </row>
    <row r="462" spans="1:23" ht="11.25" customHeight="1" x14ac:dyDescent="0.25">
      <c r="A462" s="42" t="s">
        <v>1346</v>
      </c>
      <c r="B462" s="282">
        <f t="shared" si="189"/>
        <v>11</v>
      </c>
      <c r="C462" s="27" t="s">
        <v>916</v>
      </c>
      <c r="D462" s="28" t="s">
        <v>919</v>
      </c>
      <c r="E462" s="28" t="s">
        <v>917</v>
      </c>
      <c r="F462" s="373" t="s">
        <v>475</v>
      </c>
      <c r="G462" s="374"/>
      <c r="H462" s="11">
        <v>-1607754</v>
      </c>
      <c r="I462" s="11">
        <v>-2282512</v>
      </c>
      <c r="J462" s="336">
        <v>-2283000</v>
      </c>
      <c r="K462" s="130">
        <v>-2282512</v>
      </c>
      <c r="L462" s="142">
        <v>-2913456</v>
      </c>
      <c r="M462" s="105" t="s">
        <v>1830</v>
      </c>
      <c r="N462" s="105"/>
      <c r="O462" s="88">
        <f t="shared" si="185"/>
        <v>630456</v>
      </c>
      <c r="P462" s="123">
        <f t="shared" si="186"/>
        <v>1.2761524310118266</v>
      </c>
      <c r="Q462" s="88">
        <f t="shared" si="187"/>
        <v>630944</v>
      </c>
      <c r="R462" s="123">
        <f t="shared" si="188"/>
        <v>1.2764252718058</v>
      </c>
      <c r="S462" s="88">
        <f t="shared" si="190"/>
        <v>630944</v>
      </c>
      <c r="T462" s="124">
        <f t="shared" si="192"/>
        <v>1.2764252718058</v>
      </c>
      <c r="U462" s="88">
        <f t="shared" si="193"/>
        <v>0</v>
      </c>
      <c r="V462" s="124">
        <f t="shared" si="194"/>
        <v>1</v>
      </c>
      <c r="W462" s="157">
        <f t="shared" si="164"/>
        <v>11</v>
      </c>
    </row>
    <row r="463" spans="1:23" ht="11.25" customHeight="1" x14ac:dyDescent="0.25">
      <c r="A463" s="42" t="s">
        <v>1347</v>
      </c>
      <c r="B463" s="282">
        <f t="shared" si="189"/>
        <v>11</v>
      </c>
      <c r="C463" s="27" t="s">
        <v>916</v>
      </c>
      <c r="D463" s="28" t="s">
        <v>919</v>
      </c>
      <c r="E463" s="28" t="s">
        <v>917</v>
      </c>
      <c r="F463" s="373" t="s">
        <v>476</v>
      </c>
      <c r="G463" s="374"/>
      <c r="H463" s="11">
        <v>-3750000</v>
      </c>
      <c r="I463" s="11">
        <v>-5900000</v>
      </c>
      <c r="J463" s="336">
        <v>-5900000</v>
      </c>
      <c r="K463" s="130">
        <v>-5900000</v>
      </c>
      <c r="L463" s="142">
        <v>-7400000</v>
      </c>
      <c r="M463" s="105" t="s">
        <v>1831</v>
      </c>
      <c r="N463" s="105"/>
      <c r="O463" s="88">
        <f t="shared" si="185"/>
        <v>1500000</v>
      </c>
      <c r="P463" s="123">
        <f t="shared" si="186"/>
        <v>1.2542372881355932</v>
      </c>
      <c r="Q463" s="88">
        <f t="shared" si="187"/>
        <v>1500000</v>
      </c>
      <c r="R463" s="123">
        <f t="shared" si="188"/>
        <v>1.2542372881355932</v>
      </c>
      <c r="S463" s="88">
        <f t="shared" si="190"/>
        <v>1500000</v>
      </c>
      <c r="T463" s="124">
        <f t="shared" si="192"/>
        <v>1.2542372881355932</v>
      </c>
      <c r="U463" s="88">
        <f t="shared" si="193"/>
        <v>0</v>
      </c>
      <c r="V463" s="124">
        <f t="shared" si="194"/>
        <v>1</v>
      </c>
      <c r="W463" s="157">
        <f t="shared" ref="W463:W526" si="195">LEN(A463)</f>
        <v>11</v>
      </c>
    </row>
    <row r="464" spans="1:23" ht="11.25" customHeight="1" x14ac:dyDescent="0.25">
      <c r="A464" s="42" t="s">
        <v>1348</v>
      </c>
      <c r="B464" s="282">
        <f t="shared" si="189"/>
        <v>11</v>
      </c>
      <c r="C464" s="20" t="s">
        <v>916</v>
      </c>
      <c r="D464" s="28" t="s">
        <v>919</v>
      </c>
      <c r="E464" s="20" t="s">
        <v>918</v>
      </c>
      <c r="F464" s="373" t="s">
        <v>477</v>
      </c>
      <c r="G464" s="374"/>
      <c r="H464" s="11">
        <v>-708764</v>
      </c>
      <c r="I464" s="11">
        <v>-808633</v>
      </c>
      <c r="J464" s="336">
        <v>-809999.99999997998</v>
      </c>
      <c r="K464" s="130">
        <v>-780195</v>
      </c>
      <c r="L464" s="142">
        <v>-900000</v>
      </c>
      <c r="M464" s="105" t="s">
        <v>1693</v>
      </c>
      <c r="N464" s="105"/>
      <c r="O464" s="88">
        <f t="shared" si="185"/>
        <v>90000.000000020023</v>
      </c>
      <c r="P464" s="123">
        <f t="shared" si="186"/>
        <v>1.1111111111111385</v>
      </c>
      <c r="Q464" s="88">
        <f t="shared" si="187"/>
        <v>91367</v>
      </c>
      <c r="R464" s="123">
        <f t="shared" si="188"/>
        <v>1.1129894525699544</v>
      </c>
      <c r="S464" s="88">
        <f t="shared" si="190"/>
        <v>119805</v>
      </c>
      <c r="T464" s="124">
        <f t="shared" si="192"/>
        <v>1.1535577644050525</v>
      </c>
      <c r="U464" s="88">
        <f t="shared" si="193"/>
        <v>-28438</v>
      </c>
      <c r="V464" s="124">
        <f t="shared" si="194"/>
        <v>0.96483200660868407</v>
      </c>
      <c r="W464" s="157">
        <f t="shared" si="195"/>
        <v>11</v>
      </c>
    </row>
    <row r="465" spans="1:23" ht="11.25" customHeight="1" x14ac:dyDescent="0.25">
      <c r="A465" s="42" t="s">
        <v>1349</v>
      </c>
      <c r="B465" s="282">
        <f t="shared" si="189"/>
        <v>11</v>
      </c>
      <c r="C465" s="20" t="s">
        <v>1432</v>
      </c>
      <c r="D465" s="20" t="s">
        <v>920</v>
      </c>
      <c r="E465" s="20" t="s">
        <v>1245</v>
      </c>
      <c r="F465" s="373" t="s">
        <v>478</v>
      </c>
      <c r="G465" s="374"/>
      <c r="H465" s="11">
        <v>-68605</v>
      </c>
      <c r="I465" s="11">
        <v>-3968</v>
      </c>
      <c r="J465" s="336">
        <v>-24000</v>
      </c>
      <c r="K465" s="130">
        <v>-23808</v>
      </c>
      <c r="L465" s="142">
        <v>-24000</v>
      </c>
      <c r="O465" s="88">
        <f t="shared" si="185"/>
        <v>0</v>
      </c>
      <c r="P465" s="123">
        <f t="shared" si="186"/>
        <v>1</v>
      </c>
      <c r="Q465" s="88">
        <f t="shared" si="187"/>
        <v>20032</v>
      </c>
      <c r="R465" s="123">
        <f t="shared" si="188"/>
        <v>6.0483870967741939</v>
      </c>
      <c r="S465" s="88">
        <f t="shared" si="190"/>
        <v>192</v>
      </c>
      <c r="T465" s="124">
        <f t="shared" si="192"/>
        <v>1.0080645161290323</v>
      </c>
      <c r="U465" s="88">
        <f t="shared" si="193"/>
        <v>19840</v>
      </c>
      <c r="V465" s="124">
        <f t="shared" si="194"/>
        <v>6</v>
      </c>
      <c r="W465" s="157">
        <f t="shared" si="195"/>
        <v>11</v>
      </c>
    </row>
    <row r="466" spans="1:23" ht="11.25" customHeight="1" x14ac:dyDescent="0.25">
      <c r="A466" s="26" t="s">
        <v>1350</v>
      </c>
      <c r="B466" s="282">
        <f t="shared" si="189"/>
        <v>7</v>
      </c>
      <c r="C466" s="26"/>
      <c r="D466" s="23"/>
      <c r="E466" s="23"/>
      <c r="F466" s="379" t="s">
        <v>479</v>
      </c>
      <c r="G466" s="380"/>
      <c r="H466" s="25">
        <f t="shared" ref="H466:L466" si="196">SUM(H467)</f>
        <v>-41400</v>
      </c>
      <c r="I466" s="25">
        <f t="shared" si="196"/>
        <v>-86137</v>
      </c>
      <c r="J466" s="129">
        <f t="shared" si="196"/>
        <v>-44999.999999997002</v>
      </c>
      <c r="K466" s="129">
        <f t="shared" si="196"/>
        <v>-86128.6</v>
      </c>
      <c r="L466" s="140">
        <f t="shared" si="196"/>
        <v>-44000</v>
      </c>
      <c r="O466" s="88">
        <f t="shared" si="185"/>
        <v>-999.99999999700231</v>
      </c>
      <c r="P466" s="123">
        <f t="shared" si="186"/>
        <v>0.97777777777784292</v>
      </c>
      <c r="Q466" s="88">
        <f t="shared" si="187"/>
        <v>-42137</v>
      </c>
      <c r="R466" s="123">
        <f t="shared" si="188"/>
        <v>0.51081416812751779</v>
      </c>
      <c r="S466" s="88">
        <f t="shared" si="190"/>
        <v>-42128.600000000006</v>
      </c>
      <c r="T466" s="124">
        <f t="shared" si="192"/>
        <v>0.51086398710765057</v>
      </c>
      <c r="U466" s="88">
        <f t="shared" si="193"/>
        <v>-8.3999999999941792</v>
      </c>
      <c r="V466" s="124">
        <f t="shared" si="194"/>
        <v>0.99990248093153933</v>
      </c>
      <c r="W466" s="157">
        <f t="shared" si="195"/>
        <v>7</v>
      </c>
    </row>
    <row r="467" spans="1:23" ht="11.25" customHeight="1" x14ac:dyDescent="0.25">
      <c r="A467" s="42" t="s">
        <v>1351</v>
      </c>
      <c r="B467" s="282">
        <f t="shared" si="189"/>
        <v>11</v>
      </c>
      <c r="C467" s="27" t="s">
        <v>916</v>
      </c>
      <c r="D467" s="28" t="s">
        <v>923</v>
      </c>
      <c r="E467" s="28" t="s">
        <v>917</v>
      </c>
      <c r="F467" s="373" t="s">
        <v>480</v>
      </c>
      <c r="G467" s="374"/>
      <c r="H467" s="11">
        <v>-41400</v>
      </c>
      <c r="I467" s="11">
        <v>-86137</v>
      </c>
      <c r="J467" s="336">
        <v>-44999.999999997002</v>
      </c>
      <c r="K467" s="130">
        <v>-86128.6</v>
      </c>
      <c r="L467" s="142">
        <v>-44000</v>
      </c>
      <c r="O467" s="88">
        <f t="shared" si="185"/>
        <v>-999.99999999700231</v>
      </c>
      <c r="P467" s="123">
        <f t="shared" si="186"/>
        <v>0.97777777777784292</v>
      </c>
      <c r="Q467" s="88">
        <f t="shared" si="187"/>
        <v>-42137</v>
      </c>
      <c r="R467" s="123">
        <f t="shared" si="188"/>
        <v>0.51081416812751779</v>
      </c>
      <c r="S467" s="88">
        <f t="shared" si="190"/>
        <v>-42128.600000000006</v>
      </c>
      <c r="T467" s="124">
        <f t="shared" si="192"/>
        <v>0.51086398710765057</v>
      </c>
      <c r="U467" s="88">
        <f t="shared" si="193"/>
        <v>-8.3999999999941792</v>
      </c>
      <c r="V467" s="124">
        <f t="shared" si="194"/>
        <v>0.99990248093153933</v>
      </c>
      <c r="W467" s="157">
        <f t="shared" si="195"/>
        <v>11</v>
      </c>
    </row>
    <row r="468" spans="1:23" ht="11.25" customHeight="1" x14ac:dyDescent="0.25">
      <c r="A468" s="26" t="s">
        <v>1352</v>
      </c>
      <c r="B468" s="282">
        <f t="shared" si="189"/>
        <v>7</v>
      </c>
      <c r="C468" s="26"/>
      <c r="D468" s="23"/>
      <c r="E468" s="23"/>
      <c r="F468" s="379" t="s">
        <v>481</v>
      </c>
      <c r="G468" s="380"/>
      <c r="H468" s="25">
        <f t="shared" ref="H468:L468" si="197">SUM(H469)</f>
        <v>-522600</v>
      </c>
      <c r="I468" s="25">
        <f t="shared" si="197"/>
        <v>-398400</v>
      </c>
      <c r="J468" s="129">
        <f t="shared" si="197"/>
        <v>-499999.99999999203</v>
      </c>
      <c r="K468" s="129">
        <f t="shared" si="197"/>
        <v>-374050</v>
      </c>
      <c r="L468" s="140">
        <f t="shared" si="197"/>
        <v>-397000</v>
      </c>
      <c r="O468" s="88">
        <f t="shared" si="185"/>
        <v>-102999.99999999203</v>
      </c>
      <c r="P468" s="123">
        <f t="shared" si="186"/>
        <v>0.7940000000000127</v>
      </c>
      <c r="Q468" s="88">
        <f t="shared" si="187"/>
        <v>-1400</v>
      </c>
      <c r="R468" s="123">
        <f t="shared" si="188"/>
        <v>0.99648594377510036</v>
      </c>
      <c r="S468" s="88">
        <f t="shared" si="190"/>
        <v>22950</v>
      </c>
      <c r="T468" s="124">
        <f t="shared" si="192"/>
        <v>1.0613554337655393</v>
      </c>
      <c r="U468" s="88">
        <f t="shared" si="193"/>
        <v>-24350</v>
      </c>
      <c r="V468" s="124">
        <f t="shared" si="194"/>
        <v>0.93888052208835338</v>
      </c>
      <c r="W468" s="157">
        <f t="shared" si="195"/>
        <v>7</v>
      </c>
    </row>
    <row r="469" spans="1:23" ht="11.25" customHeight="1" x14ac:dyDescent="0.25">
      <c r="A469" s="42" t="s">
        <v>1353</v>
      </c>
      <c r="B469" s="282">
        <f t="shared" si="189"/>
        <v>11</v>
      </c>
      <c r="C469" s="20" t="s">
        <v>922</v>
      </c>
      <c r="D469" s="20" t="s">
        <v>919</v>
      </c>
      <c r="E469" s="20" t="s">
        <v>924</v>
      </c>
      <c r="F469" s="373" t="s">
        <v>482</v>
      </c>
      <c r="G469" s="374"/>
      <c r="H469" s="11">
        <v>-522600</v>
      </c>
      <c r="I469" s="11">
        <v>-398400</v>
      </c>
      <c r="J469" s="336">
        <v>-499999.99999999203</v>
      </c>
      <c r="K469" s="130">
        <v>-374050</v>
      </c>
      <c r="L469" s="142">
        <v>-397000</v>
      </c>
      <c r="O469" s="88">
        <f t="shared" si="185"/>
        <v>-102999.99999999203</v>
      </c>
      <c r="P469" s="123">
        <f t="shared" si="186"/>
        <v>0.7940000000000127</v>
      </c>
      <c r="Q469" s="88">
        <f t="shared" si="187"/>
        <v>-1400</v>
      </c>
      <c r="R469" s="123">
        <f t="shared" si="188"/>
        <v>0.99648594377510036</v>
      </c>
      <c r="S469" s="88">
        <f t="shared" si="190"/>
        <v>22950</v>
      </c>
      <c r="T469" s="124">
        <f t="shared" si="192"/>
        <v>1.0613554337655393</v>
      </c>
      <c r="U469" s="88">
        <f t="shared" si="193"/>
        <v>-24350</v>
      </c>
      <c r="V469" s="124">
        <f t="shared" si="194"/>
        <v>0.93888052208835338</v>
      </c>
      <c r="W469" s="157">
        <f t="shared" si="195"/>
        <v>11</v>
      </c>
    </row>
    <row r="470" spans="1:23" ht="11.25" customHeight="1" x14ac:dyDescent="0.25">
      <c r="A470" s="26" t="s">
        <v>1354</v>
      </c>
      <c r="B470" s="282">
        <f t="shared" si="189"/>
        <v>7</v>
      </c>
      <c r="C470" s="26"/>
      <c r="D470" s="23"/>
      <c r="E470" s="23"/>
      <c r="F470" s="379" t="s">
        <v>483</v>
      </c>
      <c r="G470" s="380"/>
      <c r="H470" s="25">
        <f t="shared" ref="H470:L470" si="198">SUM(H471:H472)</f>
        <v>-282539</v>
      </c>
      <c r="I470" s="25">
        <f t="shared" si="198"/>
        <v>-293197</v>
      </c>
      <c r="J470" s="129">
        <f t="shared" si="198"/>
        <v>-279999.999999994</v>
      </c>
      <c r="K470" s="129">
        <f t="shared" si="198"/>
        <v>-283275</v>
      </c>
      <c r="L470" s="140">
        <f t="shared" si="198"/>
        <v>-290000</v>
      </c>
      <c r="O470" s="88">
        <f t="shared" si="185"/>
        <v>10000.000000005995</v>
      </c>
      <c r="P470" s="123">
        <f t="shared" si="186"/>
        <v>1.0357142857143078</v>
      </c>
      <c r="Q470" s="88">
        <f t="shared" si="187"/>
        <v>-3197</v>
      </c>
      <c r="R470" s="123">
        <f t="shared" si="188"/>
        <v>0.9890960685136615</v>
      </c>
      <c r="S470" s="88">
        <f t="shared" si="190"/>
        <v>6725</v>
      </c>
      <c r="T470" s="124">
        <f t="shared" si="192"/>
        <v>1.0237401818021357</v>
      </c>
      <c r="U470" s="88">
        <f t="shared" si="193"/>
        <v>-9922</v>
      </c>
      <c r="V470" s="124">
        <f t="shared" si="194"/>
        <v>0.96615927175243954</v>
      </c>
      <c r="W470" s="157">
        <f t="shared" si="195"/>
        <v>7</v>
      </c>
    </row>
    <row r="471" spans="1:23" ht="11.25" customHeight="1" x14ac:dyDescent="0.25">
      <c r="A471" s="42" t="s">
        <v>1355</v>
      </c>
      <c r="B471" s="282">
        <f t="shared" si="189"/>
        <v>11</v>
      </c>
      <c r="C471" s="27" t="s">
        <v>916</v>
      </c>
      <c r="D471" s="28" t="s">
        <v>919</v>
      </c>
      <c r="E471" s="28" t="s">
        <v>917</v>
      </c>
      <c r="F471" s="373" t="s">
        <v>484</v>
      </c>
      <c r="G471" s="374"/>
      <c r="H471" s="11">
        <v>-277539</v>
      </c>
      <c r="I471" s="11">
        <v>-293197</v>
      </c>
      <c r="J471" s="336">
        <v>-279999.999999994</v>
      </c>
      <c r="K471" s="130">
        <v>-283275</v>
      </c>
      <c r="L471" s="142">
        <v>-290000</v>
      </c>
      <c r="O471" s="88">
        <f t="shared" si="185"/>
        <v>10000.000000005995</v>
      </c>
      <c r="P471" s="123">
        <f t="shared" si="186"/>
        <v>1.0357142857143078</v>
      </c>
      <c r="Q471" s="88">
        <f t="shared" si="187"/>
        <v>-3197</v>
      </c>
      <c r="R471" s="123">
        <f t="shared" si="188"/>
        <v>0.9890960685136615</v>
      </c>
      <c r="S471" s="88">
        <f t="shared" si="190"/>
        <v>6725</v>
      </c>
      <c r="T471" s="124">
        <f t="shared" si="192"/>
        <v>1.0237401818021357</v>
      </c>
      <c r="U471" s="88">
        <f t="shared" si="193"/>
        <v>-9922</v>
      </c>
      <c r="V471" s="124">
        <f t="shared" si="194"/>
        <v>0.96615927175243954</v>
      </c>
      <c r="W471" s="157">
        <f t="shared" si="195"/>
        <v>11</v>
      </c>
    </row>
    <row r="472" spans="1:23" ht="11.25" customHeight="1" x14ac:dyDescent="0.25">
      <c r="A472" s="42" t="s">
        <v>1356</v>
      </c>
      <c r="B472" s="282">
        <f t="shared" si="189"/>
        <v>11</v>
      </c>
      <c r="C472" s="27" t="s">
        <v>916</v>
      </c>
      <c r="D472" s="28" t="s">
        <v>919</v>
      </c>
      <c r="E472" s="28" t="s">
        <v>917</v>
      </c>
      <c r="F472" s="373" t="s">
        <v>1685</v>
      </c>
      <c r="G472" s="374"/>
      <c r="H472" s="11">
        <v>-5000</v>
      </c>
      <c r="I472" s="11">
        <v>0</v>
      </c>
      <c r="J472" s="336">
        <v>0</v>
      </c>
      <c r="K472" s="130">
        <v>0</v>
      </c>
      <c r="L472" s="142">
        <v>0</v>
      </c>
      <c r="O472" s="88">
        <f t="shared" si="185"/>
        <v>0</v>
      </c>
      <c r="P472" s="123" t="str">
        <f t="shared" si="186"/>
        <v/>
      </c>
      <c r="Q472" s="88">
        <f t="shared" si="187"/>
        <v>0</v>
      </c>
      <c r="R472" s="123" t="str">
        <f t="shared" si="188"/>
        <v/>
      </c>
      <c r="S472" s="88">
        <f t="shared" si="190"/>
        <v>0</v>
      </c>
      <c r="T472" s="124" t="str">
        <f t="shared" si="192"/>
        <v/>
      </c>
      <c r="U472" s="88">
        <f t="shared" si="193"/>
        <v>0</v>
      </c>
      <c r="V472" s="124" t="str">
        <f t="shared" si="194"/>
        <v/>
      </c>
      <c r="W472" s="157">
        <f t="shared" si="195"/>
        <v>11</v>
      </c>
    </row>
    <row r="473" spans="1:23" ht="11.25" customHeight="1" x14ac:dyDescent="0.25">
      <c r="A473" s="26" t="s">
        <v>1357</v>
      </c>
      <c r="B473" s="282">
        <f t="shared" si="189"/>
        <v>7</v>
      </c>
      <c r="C473" s="26"/>
      <c r="D473" s="23"/>
      <c r="E473" s="23"/>
      <c r="F473" s="379" t="s">
        <v>485</v>
      </c>
      <c r="G473" s="380"/>
      <c r="H473" s="25">
        <f t="shared" ref="H473:L473" si="199">SUM(H474)</f>
        <v>-1045308</v>
      </c>
      <c r="I473" s="25">
        <f t="shared" si="199"/>
        <v>-983054</v>
      </c>
      <c r="J473" s="129">
        <f t="shared" si="199"/>
        <v>-1150000</v>
      </c>
      <c r="K473" s="129">
        <f t="shared" si="199"/>
        <v>-1403264</v>
      </c>
      <c r="L473" s="140">
        <f t="shared" si="199"/>
        <v>-1290000</v>
      </c>
      <c r="O473" s="88">
        <f t="shared" si="185"/>
        <v>140000</v>
      </c>
      <c r="P473" s="123">
        <f t="shared" si="186"/>
        <v>1.1217391304347826</v>
      </c>
      <c r="Q473" s="88">
        <f t="shared" si="187"/>
        <v>306946</v>
      </c>
      <c r="R473" s="123">
        <f t="shared" si="188"/>
        <v>1.3122371711014857</v>
      </c>
      <c r="S473" s="88">
        <f t="shared" si="190"/>
        <v>-113264</v>
      </c>
      <c r="T473" s="124">
        <f t="shared" si="192"/>
        <v>0.91928532336039404</v>
      </c>
      <c r="U473" s="88">
        <f t="shared" si="193"/>
        <v>420210</v>
      </c>
      <c r="V473" s="124">
        <f t="shared" si="194"/>
        <v>1.4274536292004305</v>
      </c>
      <c r="W473" s="157">
        <f t="shared" si="195"/>
        <v>7</v>
      </c>
    </row>
    <row r="474" spans="1:23" ht="11.25" customHeight="1" x14ac:dyDescent="0.25">
      <c r="A474" s="42" t="s">
        <v>1358</v>
      </c>
      <c r="B474" s="282">
        <f t="shared" si="189"/>
        <v>11</v>
      </c>
      <c r="C474" s="27" t="s">
        <v>916</v>
      </c>
      <c r="D474" s="28" t="s">
        <v>919</v>
      </c>
      <c r="E474" s="28" t="s">
        <v>917</v>
      </c>
      <c r="F474" s="373" t="s">
        <v>486</v>
      </c>
      <c r="G474" s="374"/>
      <c r="H474" s="11">
        <v>-1045308</v>
      </c>
      <c r="I474" s="11">
        <v>-983054</v>
      </c>
      <c r="J474" s="336">
        <v>-1150000</v>
      </c>
      <c r="K474" s="130">
        <v>-1403264</v>
      </c>
      <c r="L474" s="142">
        <v>-1290000</v>
      </c>
      <c r="O474" s="88">
        <f t="shared" si="185"/>
        <v>140000</v>
      </c>
      <c r="P474" s="123">
        <f t="shared" si="186"/>
        <v>1.1217391304347826</v>
      </c>
      <c r="Q474" s="88">
        <f t="shared" si="187"/>
        <v>306946</v>
      </c>
      <c r="R474" s="123">
        <f t="shared" si="188"/>
        <v>1.3122371711014857</v>
      </c>
      <c r="S474" s="88">
        <f t="shared" si="190"/>
        <v>-113264</v>
      </c>
      <c r="T474" s="124">
        <f t="shared" si="192"/>
        <v>0.91928532336039404</v>
      </c>
      <c r="U474" s="88">
        <f t="shared" si="193"/>
        <v>420210</v>
      </c>
      <c r="V474" s="124">
        <f t="shared" si="194"/>
        <v>1.4274536292004305</v>
      </c>
      <c r="W474" s="157">
        <f t="shared" si="195"/>
        <v>11</v>
      </c>
    </row>
    <row r="475" spans="1:23" ht="11.25" customHeight="1" x14ac:dyDescent="0.25">
      <c r="A475" s="26" t="s">
        <v>1359</v>
      </c>
      <c r="B475" s="282">
        <f t="shared" si="189"/>
        <v>7</v>
      </c>
      <c r="C475" s="26"/>
      <c r="D475" s="23"/>
      <c r="E475" s="23"/>
      <c r="F475" s="379" t="s">
        <v>487</v>
      </c>
      <c r="G475" s="380"/>
      <c r="H475" s="25">
        <f t="shared" ref="H475:L475" si="200">SUM(H476)</f>
        <v>0</v>
      </c>
      <c r="I475" s="25">
        <f t="shared" si="200"/>
        <v>-2.3283064365386999E-10</v>
      </c>
      <c r="J475" s="129">
        <f t="shared" si="200"/>
        <v>0</v>
      </c>
      <c r="K475" s="129">
        <f t="shared" si="200"/>
        <v>0</v>
      </c>
      <c r="L475" s="140">
        <f t="shared" si="200"/>
        <v>0</v>
      </c>
      <c r="O475" s="88">
        <f t="shared" si="185"/>
        <v>0</v>
      </c>
      <c r="P475" s="123" t="str">
        <f t="shared" si="186"/>
        <v/>
      </c>
      <c r="Q475" s="88">
        <f t="shared" si="187"/>
        <v>-2.3283064365386999E-10</v>
      </c>
      <c r="R475" s="123">
        <f t="shared" si="188"/>
        <v>0</v>
      </c>
      <c r="S475" s="88">
        <f t="shared" si="190"/>
        <v>0</v>
      </c>
      <c r="T475" s="124" t="str">
        <f t="shared" si="192"/>
        <v/>
      </c>
      <c r="U475" s="88">
        <f t="shared" si="193"/>
        <v>-2.3283064365386999E-10</v>
      </c>
      <c r="V475" s="124">
        <f t="shared" si="194"/>
        <v>0</v>
      </c>
      <c r="W475" s="157">
        <f t="shared" si="195"/>
        <v>7</v>
      </c>
    </row>
    <row r="476" spans="1:23" ht="11.25" customHeight="1" x14ac:dyDescent="0.25">
      <c r="A476" s="42" t="s">
        <v>1360</v>
      </c>
      <c r="B476" s="282">
        <f t="shared" si="189"/>
        <v>11</v>
      </c>
      <c r="C476" s="14"/>
      <c r="D476" s="13"/>
      <c r="E476" s="13"/>
      <c r="F476" s="373" t="s">
        <v>488</v>
      </c>
      <c r="G476" s="374"/>
      <c r="H476" s="11">
        <v>0</v>
      </c>
      <c r="I476" s="11">
        <v>-2.3283064365386999E-10</v>
      </c>
      <c r="J476" s="336">
        <v>0</v>
      </c>
      <c r="K476" s="130">
        <v>0</v>
      </c>
      <c r="L476" s="141"/>
      <c r="O476" s="88">
        <f t="shared" si="185"/>
        <v>0</v>
      </c>
      <c r="P476" s="123" t="str">
        <f t="shared" si="186"/>
        <v/>
      </c>
      <c r="Q476" s="88">
        <f t="shared" si="187"/>
        <v>-2.3283064365386999E-10</v>
      </c>
      <c r="R476" s="123">
        <f t="shared" si="188"/>
        <v>0</v>
      </c>
      <c r="S476" s="88">
        <f t="shared" si="190"/>
        <v>0</v>
      </c>
      <c r="T476" s="124" t="str">
        <f t="shared" si="192"/>
        <v/>
      </c>
      <c r="U476" s="88">
        <f t="shared" si="193"/>
        <v>-2.3283064365386999E-10</v>
      </c>
      <c r="V476" s="124">
        <f t="shared" si="194"/>
        <v>0</v>
      </c>
      <c r="W476" s="157">
        <f t="shared" si="195"/>
        <v>11</v>
      </c>
    </row>
    <row r="477" spans="1:23" ht="11.25" customHeight="1" x14ac:dyDescent="0.25">
      <c r="A477" s="26" t="s">
        <v>1361</v>
      </c>
      <c r="B477" s="282">
        <f t="shared" si="189"/>
        <v>7</v>
      </c>
      <c r="C477" s="26"/>
      <c r="D477" s="23"/>
      <c r="E477" s="23"/>
      <c r="F477" s="379" t="s">
        <v>489</v>
      </c>
      <c r="G477" s="380"/>
      <c r="H477" s="25">
        <f t="shared" ref="H477:L477" si="201">SUM(H478)</f>
        <v>-14850</v>
      </c>
      <c r="I477" s="25">
        <f t="shared" si="201"/>
        <v>-18900</v>
      </c>
      <c r="J477" s="129">
        <f t="shared" si="201"/>
        <v>-49999.999999991996</v>
      </c>
      <c r="K477" s="129">
        <f t="shared" si="201"/>
        <v>-10650</v>
      </c>
      <c r="L477" s="140">
        <f t="shared" si="201"/>
        <v>-210000</v>
      </c>
      <c r="O477" s="88">
        <f t="shared" si="185"/>
        <v>160000.000000008</v>
      </c>
      <c r="P477" s="123">
        <f t="shared" si="186"/>
        <v>4.2000000000006725</v>
      </c>
      <c r="Q477" s="88">
        <f t="shared" si="187"/>
        <v>191100</v>
      </c>
      <c r="R477" s="123">
        <f t="shared" si="188"/>
        <v>11.111111111111111</v>
      </c>
      <c r="S477" s="88">
        <f t="shared" si="190"/>
        <v>199350</v>
      </c>
      <c r="T477" s="124">
        <f t="shared" si="192"/>
        <v>19.718309859154928</v>
      </c>
      <c r="U477" s="88">
        <f t="shared" si="193"/>
        <v>-8250</v>
      </c>
      <c r="V477" s="124">
        <f t="shared" si="194"/>
        <v>0.56349206349206349</v>
      </c>
      <c r="W477" s="157">
        <f t="shared" si="195"/>
        <v>7</v>
      </c>
    </row>
    <row r="478" spans="1:23" ht="11.25" customHeight="1" x14ac:dyDescent="0.25">
      <c r="A478" s="42" t="s">
        <v>1362</v>
      </c>
      <c r="B478" s="282">
        <f t="shared" si="189"/>
        <v>11</v>
      </c>
      <c r="C478" s="20" t="s">
        <v>1243</v>
      </c>
      <c r="D478" s="20" t="s">
        <v>920</v>
      </c>
      <c r="E478" s="20" t="s">
        <v>1245</v>
      </c>
      <c r="F478" s="373" t="s">
        <v>490</v>
      </c>
      <c r="G478" s="374"/>
      <c r="H478" s="11">
        <v>-14850</v>
      </c>
      <c r="I478" s="11">
        <v>-18900</v>
      </c>
      <c r="J478" s="336">
        <v>-49999.999999991996</v>
      </c>
      <c r="K478" s="130">
        <v>-10650</v>
      </c>
      <c r="L478" s="142">
        <v>-210000</v>
      </c>
      <c r="O478" s="88">
        <f t="shared" si="185"/>
        <v>160000.000000008</v>
      </c>
      <c r="P478" s="123">
        <f t="shared" si="186"/>
        <v>4.2000000000006725</v>
      </c>
      <c r="Q478" s="88">
        <f t="shared" si="187"/>
        <v>191100</v>
      </c>
      <c r="R478" s="123">
        <f t="shared" si="188"/>
        <v>11.111111111111111</v>
      </c>
      <c r="S478" s="88">
        <f t="shared" si="190"/>
        <v>199350</v>
      </c>
      <c r="T478" s="124">
        <f t="shared" si="192"/>
        <v>19.718309859154928</v>
      </c>
      <c r="U478" s="88">
        <f t="shared" si="193"/>
        <v>-8250</v>
      </c>
      <c r="V478" s="124">
        <f t="shared" si="194"/>
        <v>0.56349206349206349</v>
      </c>
      <c r="W478" s="157">
        <f t="shared" si="195"/>
        <v>11</v>
      </c>
    </row>
    <row r="479" spans="1:23" ht="11.25" customHeight="1" x14ac:dyDescent="0.25">
      <c r="A479" s="26" t="s">
        <v>1363</v>
      </c>
      <c r="B479" s="282">
        <f t="shared" si="189"/>
        <v>7</v>
      </c>
      <c r="C479" s="26"/>
      <c r="D479" s="23"/>
      <c r="E479" s="23"/>
      <c r="F479" s="379" t="s">
        <v>491</v>
      </c>
      <c r="G479" s="380"/>
      <c r="H479" s="25">
        <f t="shared" ref="H479:L479" si="202">SUM(H480)</f>
        <v>-815562</v>
      </c>
      <c r="I479" s="25">
        <f t="shared" si="202"/>
        <v>-1021297</v>
      </c>
      <c r="J479" s="129">
        <f t="shared" si="202"/>
        <v>-699999.99999999604</v>
      </c>
      <c r="K479" s="129">
        <f t="shared" si="202"/>
        <v>-889703</v>
      </c>
      <c r="L479" s="140">
        <f t="shared" si="202"/>
        <v>-700000</v>
      </c>
      <c r="O479" s="88">
        <f t="shared" si="185"/>
        <v>3.9581209421157837E-9</v>
      </c>
      <c r="P479" s="123">
        <f t="shared" si="186"/>
        <v>1.0000000000000056</v>
      </c>
      <c r="Q479" s="88">
        <f t="shared" si="187"/>
        <v>-321297</v>
      </c>
      <c r="R479" s="123">
        <f t="shared" si="188"/>
        <v>0.68540297288643759</v>
      </c>
      <c r="S479" s="88">
        <f t="shared" si="190"/>
        <v>-189703</v>
      </c>
      <c r="T479" s="124">
        <f t="shared" si="192"/>
        <v>0.78677940840932314</v>
      </c>
      <c r="U479" s="88">
        <f t="shared" si="193"/>
        <v>-131594</v>
      </c>
      <c r="V479" s="124">
        <f t="shared" si="194"/>
        <v>0.87115011597997449</v>
      </c>
      <c r="W479" s="157">
        <f t="shared" si="195"/>
        <v>7</v>
      </c>
    </row>
    <row r="480" spans="1:23" ht="11.25" customHeight="1" x14ac:dyDescent="0.25">
      <c r="A480" s="42" t="s">
        <v>1364</v>
      </c>
      <c r="B480" s="282">
        <f t="shared" si="189"/>
        <v>11</v>
      </c>
      <c r="C480" s="20" t="s">
        <v>1243</v>
      </c>
      <c r="D480" s="20" t="s">
        <v>920</v>
      </c>
      <c r="E480" s="20" t="s">
        <v>1245</v>
      </c>
      <c r="F480" s="373" t="s">
        <v>492</v>
      </c>
      <c r="G480" s="374"/>
      <c r="H480" s="11">
        <v>-815562</v>
      </c>
      <c r="I480" s="11">
        <v>-1021297</v>
      </c>
      <c r="J480" s="336">
        <v>-699999.99999999604</v>
      </c>
      <c r="K480" s="130">
        <v>-889703</v>
      </c>
      <c r="L480" s="142">
        <v>-700000</v>
      </c>
      <c r="O480" s="88">
        <f t="shared" si="185"/>
        <v>3.9581209421157837E-9</v>
      </c>
      <c r="P480" s="123">
        <f t="shared" si="186"/>
        <v>1.0000000000000056</v>
      </c>
      <c r="Q480" s="88">
        <f t="shared" si="187"/>
        <v>-321297</v>
      </c>
      <c r="R480" s="123">
        <f t="shared" si="188"/>
        <v>0.68540297288643759</v>
      </c>
      <c r="S480" s="88">
        <f t="shared" si="190"/>
        <v>-189703</v>
      </c>
      <c r="T480" s="124">
        <f t="shared" si="192"/>
        <v>0.78677940840932314</v>
      </c>
      <c r="U480" s="88">
        <f t="shared" si="193"/>
        <v>-131594</v>
      </c>
      <c r="V480" s="124">
        <f t="shared" si="194"/>
        <v>0.87115011597997449</v>
      </c>
      <c r="W480" s="157">
        <f t="shared" si="195"/>
        <v>11</v>
      </c>
    </row>
    <row r="481" spans="1:23" ht="11.25" customHeight="1" x14ac:dyDescent="0.25">
      <c r="A481" s="26" t="s">
        <v>1365</v>
      </c>
      <c r="B481" s="282">
        <f t="shared" si="189"/>
        <v>7</v>
      </c>
      <c r="C481" s="26"/>
      <c r="D481" s="23"/>
      <c r="E481" s="23"/>
      <c r="F481" s="379" t="s">
        <v>493</v>
      </c>
      <c r="G481" s="380"/>
      <c r="H481" s="25">
        <f t="shared" ref="H481:L481" si="203">SUM(H482)</f>
        <v>-482234</v>
      </c>
      <c r="I481" s="25">
        <f t="shared" si="203"/>
        <v>-517083</v>
      </c>
      <c r="J481" s="129">
        <f t="shared" si="203"/>
        <v>-199999.999999992</v>
      </c>
      <c r="K481" s="129">
        <f t="shared" si="203"/>
        <v>-497818</v>
      </c>
      <c r="L481" s="140">
        <f t="shared" si="203"/>
        <v>-200000</v>
      </c>
      <c r="O481" s="88">
        <f t="shared" si="185"/>
        <v>8.0035533756017685E-9</v>
      </c>
      <c r="P481" s="123">
        <f t="shared" si="186"/>
        <v>1.00000000000004</v>
      </c>
      <c r="Q481" s="88">
        <f t="shared" si="187"/>
        <v>-317083</v>
      </c>
      <c r="R481" s="123">
        <f t="shared" si="188"/>
        <v>0.38678510026436763</v>
      </c>
      <c r="S481" s="88">
        <f t="shared" si="190"/>
        <v>-297818</v>
      </c>
      <c r="T481" s="124">
        <f t="shared" si="192"/>
        <v>0.40175325118818522</v>
      </c>
      <c r="U481" s="88">
        <f t="shared" si="193"/>
        <v>-19265</v>
      </c>
      <c r="V481" s="124">
        <f t="shared" si="194"/>
        <v>0.96274292521703475</v>
      </c>
      <c r="W481" s="157">
        <f t="shared" si="195"/>
        <v>7</v>
      </c>
    </row>
    <row r="482" spans="1:23" ht="11.25" customHeight="1" x14ac:dyDescent="0.25">
      <c r="A482" s="42" t="s">
        <v>1366</v>
      </c>
      <c r="B482" s="282">
        <f t="shared" si="189"/>
        <v>11</v>
      </c>
      <c r="C482" s="20" t="s">
        <v>1243</v>
      </c>
      <c r="D482" s="20" t="s">
        <v>920</v>
      </c>
      <c r="E482" s="20" t="s">
        <v>1245</v>
      </c>
      <c r="F482" s="373" t="s">
        <v>494</v>
      </c>
      <c r="G482" s="374"/>
      <c r="H482" s="11">
        <v>-482234</v>
      </c>
      <c r="I482" s="11">
        <v>-517083</v>
      </c>
      <c r="J482" s="336">
        <v>-199999.999999992</v>
      </c>
      <c r="K482" s="130">
        <v>-497818</v>
      </c>
      <c r="L482" s="142">
        <v>-200000</v>
      </c>
      <c r="O482" s="88">
        <f t="shared" si="185"/>
        <v>8.0035533756017685E-9</v>
      </c>
      <c r="P482" s="123">
        <f t="shared" si="186"/>
        <v>1.00000000000004</v>
      </c>
      <c r="Q482" s="88">
        <f t="shared" si="187"/>
        <v>-317083</v>
      </c>
      <c r="R482" s="123">
        <f t="shared" si="188"/>
        <v>0.38678510026436763</v>
      </c>
      <c r="S482" s="88">
        <f t="shared" si="190"/>
        <v>-297818</v>
      </c>
      <c r="T482" s="124">
        <f t="shared" si="192"/>
        <v>0.40175325118818522</v>
      </c>
      <c r="U482" s="88">
        <f t="shared" si="193"/>
        <v>-19265</v>
      </c>
      <c r="V482" s="124">
        <f t="shared" si="194"/>
        <v>0.96274292521703475</v>
      </c>
      <c r="W482" s="157">
        <f t="shared" si="195"/>
        <v>11</v>
      </c>
    </row>
    <row r="483" spans="1:23" ht="11.25" customHeight="1" x14ac:dyDescent="0.25">
      <c r="A483" s="26" t="s">
        <v>1367</v>
      </c>
      <c r="B483" s="282">
        <f t="shared" si="189"/>
        <v>7</v>
      </c>
      <c r="C483" s="26"/>
      <c r="D483" s="23"/>
      <c r="E483" s="23"/>
      <c r="F483" s="379" t="s">
        <v>495</v>
      </c>
      <c r="G483" s="380"/>
      <c r="H483" s="25">
        <f t="shared" ref="H483:L483" si="204">SUM(H484)</f>
        <v>0</v>
      </c>
      <c r="I483" s="25">
        <f t="shared" si="204"/>
        <v>0</v>
      </c>
      <c r="J483" s="129">
        <f t="shared" si="204"/>
        <v>0</v>
      </c>
      <c r="K483" s="129">
        <f t="shared" si="204"/>
        <v>0</v>
      </c>
      <c r="L483" s="140">
        <f t="shared" si="204"/>
        <v>0</v>
      </c>
      <c r="O483" s="88">
        <f t="shared" si="185"/>
        <v>0</v>
      </c>
      <c r="P483" s="123" t="str">
        <f t="shared" si="186"/>
        <v/>
      </c>
      <c r="Q483" s="88">
        <f t="shared" si="187"/>
        <v>0</v>
      </c>
      <c r="R483" s="123" t="str">
        <f t="shared" si="188"/>
        <v/>
      </c>
      <c r="S483" s="88">
        <f t="shared" si="190"/>
        <v>0</v>
      </c>
      <c r="T483" s="124" t="str">
        <f t="shared" si="192"/>
        <v/>
      </c>
      <c r="U483" s="88">
        <f t="shared" si="193"/>
        <v>0</v>
      </c>
      <c r="V483" s="124" t="str">
        <f t="shared" si="194"/>
        <v/>
      </c>
      <c r="W483" s="157">
        <f t="shared" si="195"/>
        <v>7</v>
      </c>
    </row>
    <row r="484" spans="1:23" ht="11.25" customHeight="1" x14ac:dyDescent="0.25">
      <c r="A484" s="42" t="s">
        <v>1368</v>
      </c>
      <c r="B484" s="282">
        <f t="shared" si="189"/>
        <v>11</v>
      </c>
      <c r="C484" s="14"/>
      <c r="D484" s="13"/>
      <c r="E484" s="13"/>
      <c r="F484" s="373" t="s">
        <v>496</v>
      </c>
      <c r="G484" s="374"/>
      <c r="H484" s="11">
        <v>0</v>
      </c>
      <c r="I484" s="11">
        <v>0</v>
      </c>
      <c r="J484" s="336">
        <v>0</v>
      </c>
      <c r="K484" s="130">
        <v>0</v>
      </c>
      <c r="L484" s="141"/>
      <c r="O484" s="88">
        <f t="shared" si="185"/>
        <v>0</v>
      </c>
      <c r="P484" s="123" t="str">
        <f t="shared" si="186"/>
        <v/>
      </c>
      <c r="Q484" s="88">
        <f t="shared" si="187"/>
        <v>0</v>
      </c>
      <c r="R484" s="123" t="str">
        <f t="shared" si="188"/>
        <v/>
      </c>
      <c r="S484" s="88">
        <f t="shared" si="190"/>
        <v>0</v>
      </c>
      <c r="T484" s="124" t="str">
        <f t="shared" si="192"/>
        <v/>
      </c>
      <c r="U484" s="88">
        <f t="shared" si="193"/>
        <v>0</v>
      </c>
      <c r="V484" s="124" t="str">
        <f t="shared" si="194"/>
        <v/>
      </c>
      <c r="W484" s="157">
        <f t="shared" si="195"/>
        <v>11</v>
      </c>
    </row>
    <row r="485" spans="1:23" ht="11.25" customHeight="1" x14ac:dyDescent="0.25">
      <c r="A485" s="26" t="s">
        <v>1369</v>
      </c>
      <c r="B485" s="282">
        <f t="shared" si="189"/>
        <v>7</v>
      </c>
      <c r="C485" s="26"/>
      <c r="D485" s="23"/>
      <c r="E485" s="23"/>
      <c r="F485" s="379" t="s">
        <v>497</v>
      </c>
      <c r="G485" s="380"/>
      <c r="H485" s="25">
        <f t="shared" ref="H485:L485" si="205">SUM(H486)</f>
        <v>-500939.19</v>
      </c>
      <c r="I485" s="25">
        <f t="shared" si="205"/>
        <v>-669292</v>
      </c>
      <c r="J485" s="129">
        <f t="shared" si="205"/>
        <v>-499999.99999999203</v>
      </c>
      <c r="K485" s="129">
        <f t="shared" si="205"/>
        <v>-627390</v>
      </c>
      <c r="L485" s="140">
        <f t="shared" si="205"/>
        <v>-580000</v>
      </c>
      <c r="O485" s="88">
        <f t="shared" si="185"/>
        <v>80000.000000007974</v>
      </c>
      <c r="P485" s="123">
        <f t="shared" si="186"/>
        <v>1.1600000000000186</v>
      </c>
      <c r="Q485" s="88">
        <f t="shared" si="187"/>
        <v>-89292</v>
      </c>
      <c r="R485" s="123">
        <f t="shared" si="188"/>
        <v>0.86658737890188442</v>
      </c>
      <c r="S485" s="88">
        <f t="shared" si="190"/>
        <v>-47390</v>
      </c>
      <c r="T485" s="124">
        <f t="shared" si="192"/>
        <v>0.92446484642726212</v>
      </c>
      <c r="U485" s="88">
        <f t="shared" si="193"/>
        <v>-41902</v>
      </c>
      <c r="V485" s="124">
        <f t="shared" si="194"/>
        <v>0.93739354422285037</v>
      </c>
      <c r="W485" s="157">
        <f t="shared" si="195"/>
        <v>7</v>
      </c>
    </row>
    <row r="486" spans="1:23" ht="11.25" customHeight="1" x14ac:dyDescent="0.25">
      <c r="A486" s="42" t="s">
        <v>1370</v>
      </c>
      <c r="B486" s="282">
        <f t="shared" si="189"/>
        <v>11</v>
      </c>
      <c r="C486" s="20" t="s">
        <v>1243</v>
      </c>
      <c r="D486" s="20" t="s">
        <v>920</v>
      </c>
      <c r="E486" s="20" t="s">
        <v>1245</v>
      </c>
      <c r="F486" s="373" t="s">
        <v>498</v>
      </c>
      <c r="G486" s="374"/>
      <c r="H486" s="11">
        <v>-500939.19</v>
      </c>
      <c r="I486" s="11">
        <v>-669292</v>
      </c>
      <c r="J486" s="336">
        <v>-499999.99999999203</v>
      </c>
      <c r="K486" s="130">
        <v>-627390</v>
      </c>
      <c r="L486" s="142">
        <v>-580000</v>
      </c>
      <c r="O486" s="88">
        <f t="shared" si="185"/>
        <v>80000.000000007974</v>
      </c>
      <c r="P486" s="123">
        <f t="shared" si="186"/>
        <v>1.1600000000000186</v>
      </c>
      <c r="Q486" s="88">
        <f t="shared" si="187"/>
        <v>-89292</v>
      </c>
      <c r="R486" s="123">
        <f t="shared" si="188"/>
        <v>0.86658737890188442</v>
      </c>
      <c r="S486" s="88">
        <f t="shared" si="190"/>
        <v>-47390</v>
      </c>
      <c r="T486" s="124">
        <f t="shared" si="192"/>
        <v>0.92446484642726212</v>
      </c>
      <c r="U486" s="88">
        <f t="shared" si="193"/>
        <v>-41902</v>
      </c>
      <c r="V486" s="124">
        <f t="shared" si="194"/>
        <v>0.93739354422285037</v>
      </c>
      <c r="W486" s="157">
        <f t="shared" si="195"/>
        <v>11</v>
      </c>
    </row>
    <row r="487" spans="1:23" ht="11.25" customHeight="1" x14ac:dyDescent="0.25">
      <c r="A487" s="26" t="s">
        <v>1371</v>
      </c>
      <c r="B487" s="282">
        <f t="shared" si="189"/>
        <v>7</v>
      </c>
      <c r="C487" s="26"/>
      <c r="D487" s="23"/>
      <c r="E487" s="23"/>
      <c r="F487" s="379" t="s">
        <v>499</v>
      </c>
      <c r="G487" s="380"/>
      <c r="H487" s="25">
        <f>SUM(H488)</f>
        <v>-405228.98</v>
      </c>
      <c r="I487" s="25">
        <f>SUM(I488)</f>
        <v>-529358.96</v>
      </c>
      <c r="J487" s="129">
        <f>SUM(J488)</f>
        <v>0</v>
      </c>
      <c r="K487" s="129">
        <f t="shared" ref="K487:L487" si="206">SUM(K488)</f>
        <v>-466734.82</v>
      </c>
      <c r="L487" s="140">
        <f t="shared" si="206"/>
        <v>-500000</v>
      </c>
      <c r="O487" s="88">
        <f t="shared" si="185"/>
        <v>500000</v>
      </c>
      <c r="P487" s="123" t="str">
        <f t="shared" si="186"/>
        <v/>
      </c>
      <c r="Q487" s="88">
        <f t="shared" si="187"/>
        <v>-29358.959999999963</v>
      </c>
      <c r="R487" s="123">
        <f t="shared" si="188"/>
        <v>0.94453865482885191</v>
      </c>
      <c r="S487" s="88">
        <f t="shared" si="190"/>
        <v>33265.179999999993</v>
      </c>
      <c r="T487" s="124">
        <f t="shared" si="192"/>
        <v>1.0712721197874202</v>
      </c>
      <c r="U487" s="88">
        <f t="shared" si="193"/>
        <v>-62624.139999999956</v>
      </c>
      <c r="V487" s="124">
        <f t="shared" si="194"/>
        <v>0.88169815808917273</v>
      </c>
      <c r="W487" s="157">
        <f t="shared" si="195"/>
        <v>7</v>
      </c>
    </row>
    <row r="488" spans="1:23" ht="11.25" customHeight="1" x14ac:dyDescent="0.25">
      <c r="A488" s="42" t="s">
        <v>1372</v>
      </c>
      <c r="B488" s="282">
        <f t="shared" si="189"/>
        <v>11</v>
      </c>
      <c r="C488" s="27" t="s">
        <v>916</v>
      </c>
      <c r="D488" s="16" t="s">
        <v>920</v>
      </c>
      <c r="E488" s="16" t="s">
        <v>917</v>
      </c>
      <c r="F488" s="373" t="s">
        <v>500</v>
      </c>
      <c r="G488" s="374"/>
      <c r="H488" s="11">
        <v>-405228.98</v>
      </c>
      <c r="I488" s="11">
        <v>-529358.96</v>
      </c>
      <c r="J488" s="336">
        <v>0</v>
      </c>
      <c r="K488" s="130">
        <v>-466734.82</v>
      </c>
      <c r="L488" s="142">
        <v>-500000</v>
      </c>
      <c r="O488" s="88">
        <f t="shared" si="185"/>
        <v>500000</v>
      </c>
      <c r="P488" s="123" t="str">
        <f t="shared" si="186"/>
        <v/>
      </c>
      <c r="Q488" s="88">
        <f t="shared" si="187"/>
        <v>-29358.959999999963</v>
      </c>
      <c r="R488" s="123">
        <f t="shared" si="188"/>
        <v>0.94453865482885191</v>
      </c>
      <c r="S488" s="88">
        <f t="shared" si="190"/>
        <v>33265.179999999993</v>
      </c>
      <c r="T488" s="124">
        <f t="shared" si="192"/>
        <v>1.0712721197874202</v>
      </c>
      <c r="U488" s="88">
        <f t="shared" si="193"/>
        <v>-62624.139999999956</v>
      </c>
      <c r="V488" s="124">
        <f t="shared" si="194"/>
        <v>0.88169815808917273</v>
      </c>
      <c r="W488" s="157">
        <f t="shared" si="195"/>
        <v>11</v>
      </c>
    </row>
    <row r="489" spans="1:23" ht="11.25" customHeight="1" x14ac:dyDescent="0.25">
      <c r="A489" s="26" t="s">
        <v>1373</v>
      </c>
      <c r="B489" s="282">
        <f t="shared" si="189"/>
        <v>7</v>
      </c>
      <c r="C489" s="26"/>
      <c r="D489" s="23"/>
      <c r="E489" s="23"/>
      <c r="F489" s="379" t="s">
        <v>501</v>
      </c>
      <c r="G489" s="380"/>
      <c r="H489" s="25">
        <f t="shared" ref="H489:L489" si="207">SUM(H490:H492)</f>
        <v>-13726.05</v>
      </c>
      <c r="I489" s="25">
        <f t="shared" si="207"/>
        <v>-9819.2199999999993</v>
      </c>
      <c r="J489" s="129">
        <f t="shared" si="207"/>
        <v>0</v>
      </c>
      <c r="K489" s="129">
        <f t="shared" si="207"/>
        <v>-8061.3</v>
      </c>
      <c r="L489" s="140">
        <f t="shared" si="207"/>
        <v>0</v>
      </c>
      <c r="O489" s="88">
        <f t="shared" si="185"/>
        <v>0</v>
      </c>
      <c r="P489" s="123" t="str">
        <f t="shared" si="186"/>
        <v/>
      </c>
      <c r="Q489" s="88">
        <f t="shared" si="187"/>
        <v>-9819.2199999999993</v>
      </c>
      <c r="R489" s="123">
        <f t="shared" si="188"/>
        <v>0</v>
      </c>
      <c r="S489" s="88">
        <f t="shared" si="190"/>
        <v>-8061.3</v>
      </c>
      <c r="T489" s="124">
        <f t="shared" si="192"/>
        <v>0</v>
      </c>
      <c r="U489" s="88">
        <f t="shared" si="193"/>
        <v>-1757.9199999999992</v>
      </c>
      <c r="V489" s="124">
        <f t="shared" si="194"/>
        <v>0.82097152319634359</v>
      </c>
      <c r="W489" s="157">
        <f t="shared" si="195"/>
        <v>7</v>
      </c>
    </row>
    <row r="490" spans="1:23" ht="11.25" customHeight="1" x14ac:dyDescent="0.25">
      <c r="A490" s="42" t="s">
        <v>1374</v>
      </c>
      <c r="B490" s="282">
        <f t="shared" si="189"/>
        <v>11</v>
      </c>
      <c r="C490" s="14"/>
      <c r="D490" s="13"/>
      <c r="E490" s="13"/>
      <c r="F490" s="373" t="s">
        <v>502</v>
      </c>
      <c r="G490" s="374"/>
      <c r="H490" s="11">
        <v>-6908.65</v>
      </c>
      <c r="I490" s="11">
        <v>-9819.2199999999993</v>
      </c>
      <c r="J490" s="336">
        <v>0</v>
      </c>
      <c r="K490" s="130">
        <v>-8061.3</v>
      </c>
      <c r="L490" s="142">
        <v>0</v>
      </c>
      <c r="O490" s="88">
        <f t="shared" si="185"/>
        <v>0</v>
      </c>
      <c r="P490" s="123" t="str">
        <f t="shared" si="186"/>
        <v/>
      </c>
      <c r="Q490" s="88">
        <f t="shared" si="187"/>
        <v>-9819.2199999999993</v>
      </c>
      <c r="R490" s="123">
        <f t="shared" si="188"/>
        <v>0</v>
      </c>
      <c r="S490" s="88">
        <f t="shared" si="190"/>
        <v>-8061.3</v>
      </c>
      <c r="T490" s="124">
        <f t="shared" si="192"/>
        <v>0</v>
      </c>
      <c r="U490" s="88">
        <f t="shared" si="193"/>
        <v>-1757.9199999999992</v>
      </c>
      <c r="V490" s="124">
        <f t="shared" si="194"/>
        <v>0.82097152319634359</v>
      </c>
      <c r="W490" s="157">
        <f t="shared" si="195"/>
        <v>11</v>
      </c>
    </row>
    <row r="491" spans="1:23" ht="11.25" customHeight="1" x14ac:dyDescent="0.25">
      <c r="A491" s="42" t="s">
        <v>1375</v>
      </c>
      <c r="B491" s="282">
        <f t="shared" si="189"/>
        <v>11</v>
      </c>
      <c r="C491" s="14"/>
      <c r="D491" s="13"/>
      <c r="E491" s="13"/>
      <c r="F491" s="373" t="s">
        <v>503</v>
      </c>
      <c r="G491" s="374"/>
      <c r="H491" s="11">
        <v>-2147.1799999999998</v>
      </c>
      <c r="I491" s="11">
        <v>0</v>
      </c>
      <c r="J491" s="336">
        <v>0</v>
      </c>
      <c r="K491" s="130">
        <v>0</v>
      </c>
      <c r="L491" s="142">
        <v>0</v>
      </c>
      <c r="O491" s="88">
        <f t="shared" si="185"/>
        <v>0</v>
      </c>
      <c r="P491" s="123" t="str">
        <f t="shared" si="186"/>
        <v/>
      </c>
      <c r="Q491" s="88">
        <f t="shared" si="187"/>
        <v>0</v>
      </c>
      <c r="R491" s="123" t="str">
        <f t="shared" si="188"/>
        <v/>
      </c>
      <c r="S491" s="88">
        <f t="shared" si="190"/>
        <v>0</v>
      </c>
      <c r="T491" s="124" t="str">
        <f t="shared" si="192"/>
        <v/>
      </c>
      <c r="U491" s="88">
        <f t="shared" si="193"/>
        <v>0</v>
      </c>
      <c r="V491" s="124" t="str">
        <f t="shared" si="194"/>
        <v/>
      </c>
      <c r="W491" s="157">
        <f t="shared" si="195"/>
        <v>11</v>
      </c>
    </row>
    <row r="492" spans="1:23" ht="11.25" customHeight="1" x14ac:dyDescent="0.25">
      <c r="A492" s="42" t="s">
        <v>1376</v>
      </c>
      <c r="B492" s="282">
        <f t="shared" si="189"/>
        <v>11</v>
      </c>
      <c r="C492" s="14"/>
      <c r="D492" s="13"/>
      <c r="E492" s="13"/>
      <c r="F492" s="373" t="s">
        <v>504</v>
      </c>
      <c r="G492" s="374"/>
      <c r="H492" s="11">
        <v>-4670.22</v>
      </c>
      <c r="I492" s="11">
        <v>0</v>
      </c>
      <c r="J492" s="336">
        <v>0</v>
      </c>
      <c r="K492" s="130">
        <v>0</v>
      </c>
      <c r="L492" s="142">
        <v>0</v>
      </c>
      <c r="O492" s="88">
        <f t="shared" si="185"/>
        <v>0</v>
      </c>
      <c r="P492" s="123" t="str">
        <f t="shared" si="186"/>
        <v/>
      </c>
      <c r="Q492" s="88">
        <f t="shared" si="187"/>
        <v>0</v>
      </c>
      <c r="R492" s="123" t="str">
        <f t="shared" si="188"/>
        <v/>
      </c>
      <c r="S492" s="88">
        <f t="shared" si="190"/>
        <v>0</v>
      </c>
      <c r="T492" s="124" t="str">
        <f t="shared" si="192"/>
        <v/>
      </c>
      <c r="U492" s="88">
        <f t="shared" si="193"/>
        <v>0</v>
      </c>
      <c r="V492" s="124" t="str">
        <f t="shared" si="194"/>
        <v/>
      </c>
      <c r="W492" s="157">
        <f t="shared" si="195"/>
        <v>11</v>
      </c>
    </row>
    <row r="493" spans="1:23" ht="11.25" customHeight="1" x14ac:dyDescent="0.25">
      <c r="A493" s="26" t="s">
        <v>1377</v>
      </c>
      <c r="B493" s="282">
        <f t="shared" si="189"/>
        <v>7</v>
      </c>
      <c r="C493" s="26"/>
      <c r="D493" s="23"/>
      <c r="E493" s="23"/>
      <c r="F493" s="379" t="s">
        <v>505</v>
      </c>
      <c r="G493" s="380"/>
      <c r="H493" s="25">
        <f t="shared" ref="H493:L493" si="208">SUM(H494:H496)</f>
        <v>-183489.86</v>
      </c>
      <c r="I493" s="25">
        <f t="shared" si="208"/>
        <v>-149432.6</v>
      </c>
      <c r="J493" s="129">
        <f t="shared" si="208"/>
        <v>-135000</v>
      </c>
      <c r="K493" s="129">
        <f t="shared" si="208"/>
        <v>-153448.5</v>
      </c>
      <c r="L493" s="140">
        <f t="shared" si="208"/>
        <v>-142000</v>
      </c>
      <c r="O493" s="88">
        <f t="shared" si="185"/>
        <v>7000</v>
      </c>
      <c r="P493" s="123">
        <f t="shared" si="186"/>
        <v>1.0518518518518518</v>
      </c>
      <c r="Q493" s="88">
        <f t="shared" si="187"/>
        <v>-7432.6000000000058</v>
      </c>
      <c r="R493" s="123">
        <f t="shared" si="188"/>
        <v>0.95026118798709247</v>
      </c>
      <c r="S493" s="88">
        <f t="shared" si="190"/>
        <v>-11448.5</v>
      </c>
      <c r="T493" s="124">
        <f t="shared" si="192"/>
        <v>0.92539190673092275</v>
      </c>
      <c r="U493" s="88">
        <f t="shared" si="193"/>
        <v>4015.8999999999942</v>
      </c>
      <c r="V493" s="124">
        <f t="shared" si="194"/>
        <v>1.0268743232735025</v>
      </c>
      <c r="W493" s="157">
        <f t="shared" si="195"/>
        <v>7</v>
      </c>
    </row>
    <row r="494" spans="1:23" ht="11.25" customHeight="1" x14ac:dyDescent="0.25">
      <c r="A494" s="42" t="s">
        <v>1378</v>
      </c>
      <c r="B494" s="282">
        <f t="shared" si="189"/>
        <v>11</v>
      </c>
      <c r="C494" s="27" t="s">
        <v>916</v>
      </c>
      <c r="D494" s="28" t="s">
        <v>923</v>
      </c>
      <c r="E494" s="28" t="s">
        <v>917</v>
      </c>
      <c r="F494" s="373" t="s">
        <v>506</v>
      </c>
      <c r="G494" s="374"/>
      <c r="H494" s="11">
        <v>-131313</v>
      </c>
      <c r="I494" s="11">
        <v>-135206.6</v>
      </c>
      <c r="J494" s="336">
        <v>-134999.99999999901</v>
      </c>
      <c r="K494" s="130">
        <v>-138840.5</v>
      </c>
      <c r="L494" s="142">
        <v>-142000</v>
      </c>
      <c r="O494" s="88">
        <f t="shared" si="185"/>
        <v>7000.0000000009895</v>
      </c>
      <c r="P494" s="123">
        <f t="shared" si="186"/>
        <v>1.0518518518518596</v>
      </c>
      <c r="Q494" s="88">
        <f t="shared" si="187"/>
        <v>6793.3999999999942</v>
      </c>
      <c r="R494" s="123">
        <f t="shared" si="188"/>
        <v>1.0502445886517373</v>
      </c>
      <c r="S494" s="88">
        <f t="shared" si="190"/>
        <v>3159.5</v>
      </c>
      <c r="T494" s="124">
        <f t="shared" si="192"/>
        <v>1.0227563283047814</v>
      </c>
      <c r="U494" s="88">
        <f t="shared" si="193"/>
        <v>3633.8999999999942</v>
      </c>
      <c r="V494" s="124">
        <f t="shared" si="194"/>
        <v>1.0268766465542363</v>
      </c>
      <c r="W494" s="157">
        <f t="shared" si="195"/>
        <v>11</v>
      </c>
    </row>
    <row r="495" spans="1:23" ht="11.25" customHeight="1" x14ac:dyDescent="0.25">
      <c r="A495" s="42" t="s">
        <v>1379</v>
      </c>
      <c r="B495" s="282">
        <f t="shared" si="189"/>
        <v>11</v>
      </c>
      <c r="C495" s="14"/>
      <c r="D495" s="13"/>
      <c r="E495" s="13"/>
      <c r="F495" s="373" t="s">
        <v>507</v>
      </c>
      <c r="G495" s="374"/>
      <c r="H495" s="11">
        <v>-9941</v>
      </c>
      <c r="I495" s="11">
        <v>-14226</v>
      </c>
      <c r="J495" s="336">
        <v>0</v>
      </c>
      <c r="K495" s="130">
        <v>-14608</v>
      </c>
      <c r="L495" s="141"/>
      <c r="O495" s="88">
        <f t="shared" si="185"/>
        <v>0</v>
      </c>
      <c r="P495" s="123" t="str">
        <f t="shared" si="186"/>
        <v/>
      </c>
      <c r="Q495" s="88">
        <f t="shared" si="187"/>
        <v>-14226</v>
      </c>
      <c r="R495" s="123">
        <f t="shared" si="188"/>
        <v>0</v>
      </c>
      <c r="S495" s="88">
        <f t="shared" si="190"/>
        <v>-14608</v>
      </c>
      <c r="T495" s="124">
        <f t="shared" si="192"/>
        <v>0</v>
      </c>
      <c r="U495" s="88">
        <f t="shared" si="193"/>
        <v>382</v>
      </c>
      <c r="V495" s="124">
        <f t="shared" si="194"/>
        <v>1.0268522423731197</v>
      </c>
      <c r="W495" s="157">
        <f t="shared" si="195"/>
        <v>11</v>
      </c>
    </row>
    <row r="496" spans="1:23" ht="11.25" customHeight="1" x14ac:dyDescent="0.25">
      <c r="A496" s="42" t="s">
        <v>1380</v>
      </c>
      <c r="B496" s="282">
        <f t="shared" si="189"/>
        <v>11</v>
      </c>
      <c r="C496" s="14"/>
      <c r="D496" s="13"/>
      <c r="E496" s="13"/>
      <c r="F496" s="373" t="s">
        <v>93</v>
      </c>
      <c r="G496" s="374"/>
      <c r="H496" s="11">
        <v>-42235.86</v>
      </c>
      <c r="I496" s="11">
        <v>0</v>
      </c>
      <c r="J496" s="336">
        <v>-9.9953467724844793E-10</v>
      </c>
      <c r="K496" s="130">
        <v>0</v>
      </c>
      <c r="L496" s="141"/>
      <c r="O496" s="88">
        <f t="shared" si="185"/>
        <v>-9.9953467724844793E-10</v>
      </c>
      <c r="P496" s="123">
        <f t="shared" si="186"/>
        <v>0</v>
      </c>
      <c r="Q496" s="88">
        <f t="shared" si="187"/>
        <v>0</v>
      </c>
      <c r="R496" s="123" t="str">
        <f t="shared" si="188"/>
        <v/>
      </c>
      <c r="S496" s="88">
        <f t="shared" si="190"/>
        <v>0</v>
      </c>
      <c r="T496" s="124" t="str">
        <f t="shared" si="192"/>
        <v/>
      </c>
      <c r="U496" s="88">
        <f t="shared" si="193"/>
        <v>0</v>
      </c>
      <c r="V496" s="124" t="str">
        <f t="shared" si="194"/>
        <v/>
      </c>
      <c r="W496" s="157">
        <f t="shared" si="195"/>
        <v>11</v>
      </c>
    </row>
    <row r="497" spans="1:23" ht="11.25" customHeight="1" x14ac:dyDescent="0.25">
      <c r="A497" s="41" t="s">
        <v>508</v>
      </c>
      <c r="B497" s="282">
        <f t="shared" si="189"/>
        <v>3</v>
      </c>
      <c r="C497" s="41"/>
      <c r="D497" s="40"/>
      <c r="E497" s="40"/>
      <c r="F497" s="383" t="s">
        <v>509</v>
      </c>
      <c r="G497" s="384"/>
      <c r="H497" s="43">
        <f>H498+H519+H520+H521+H522+H527+H563+H564+H567</f>
        <v>-303484476.73000002</v>
      </c>
      <c r="I497" s="43">
        <f>I498+I519+I520+I521+I522+I527+I563+I564+I567</f>
        <v>-307829995.27999997</v>
      </c>
      <c r="J497" s="127">
        <f>J498+J519+J520+J521+J522+J527+J563+J564+J567</f>
        <v>-324191333.33332342</v>
      </c>
      <c r="K497" s="127">
        <f>K498+K519+K520+K521+K522+K527+K563+K564+K567</f>
        <v>-301319114.97999996</v>
      </c>
      <c r="L497" s="331">
        <f>L498+L519+L520+L521+L522+L527+L563+L564+L567</f>
        <v>-373728722</v>
      </c>
      <c r="O497" s="88">
        <f t="shared" si="185"/>
        <v>49537388.666676581</v>
      </c>
      <c r="P497" s="123">
        <f t="shared" si="186"/>
        <v>1.1528029394164705</v>
      </c>
      <c r="Q497" s="88">
        <f t="shared" si="187"/>
        <v>65898726.720000029</v>
      </c>
      <c r="R497" s="123">
        <f t="shared" si="188"/>
        <v>1.2140750665316387</v>
      </c>
      <c r="S497" s="88">
        <f t="shared" si="190"/>
        <v>72409607.020000041</v>
      </c>
      <c r="T497" s="124">
        <f t="shared" si="192"/>
        <v>1.2403087073477108</v>
      </c>
      <c r="U497" s="88">
        <f t="shared" si="193"/>
        <v>-6510880.3000000119</v>
      </c>
      <c r="V497" s="124">
        <f t="shared" si="194"/>
        <v>0.97884910372662759</v>
      </c>
      <c r="W497" s="157">
        <f t="shared" si="195"/>
        <v>3</v>
      </c>
    </row>
    <row r="498" spans="1:23" ht="11.25" customHeight="1" x14ac:dyDescent="0.25">
      <c r="A498" s="38" t="s">
        <v>510</v>
      </c>
      <c r="B498" s="282">
        <f t="shared" si="189"/>
        <v>4</v>
      </c>
      <c r="C498" s="38"/>
      <c r="D498" s="22"/>
      <c r="E498" s="22"/>
      <c r="F498" s="385" t="s">
        <v>511</v>
      </c>
      <c r="G498" s="386"/>
      <c r="H498" s="37">
        <f t="shared" ref="H498:L498" si="209">H499+H501+H509+H516</f>
        <v>-256193577</v>
      </c>
      <c r="I498" s="37">
        <f t="shared" si="209"/>
        <v>-262580475</v>
      </c>
      <c r="J498" s="128">
        <f t="shared" si="209"/>
        <v>-274899999.99999022</v>
      </c>
      <c r="K498" s="333">
        <f t="shared" si="209"/>
        <v>-271372176</v>
      </c>
      <c r="L498" s="139">
        <f t="shared" si="209"/>
        <v>-313583152</v>
      </c>
      <c r="O498" s="175">
        <f t="shared" si="185"/>
        <v>38683152.000009775</v>
      </c>
      <c r="P498" s="176">
        <f t="shared" si="186"/>
        <v>1.1407171771553697</v>
      </c>
      <c r="Q498" s="175">
        <f t="shared" si="187"/>
        <v>51002677</v>
      </c>
      <c r="R498" s="176">
        <f t="shared" si="188"/>
        <v>1.194236365061035</v>
      </c>
      <c r="S498" s="175">
        <f t="shared" si="190"/>
        <v>42210976</v>
      </c>
      <c r="T498" s="177">
        <f t="shared" si="192"/>
        <v>1.1555464403985174</v>
      </c>
      <c r="U498" s="175">
        <f t="shared" si="193"/>
        <v>8791701</v>
      </c>
      <c r="V498" s="177">
        <f t="shared" si="194"/>
        <v>1.0334819296827</v>
      </c>
      <c r="W498" s="157">
        <f t="shared" si="195"/>
        <v>4</v>
      </c>
    </row>
    <row r="499" spans="1:23" ht="11.25" customHeight="1" x14ac:dyDescent="0.25">
      <c r="A499" s="26" t="s">
        <v>1381</v>
      </c>
      <c r="B499" s="282">
        <f t="shared" si="189"/>
        <v>7</v>
      </c>
      <c r="C499" s="26"/>
      <c r="D499" s="23"/>
      <c r="E499" s="23"/>
      <c r="F499" s="379" t="s">
        <v>512</v>
      </c>
      <c r="G499" s="380"/>
      <c r="H499" s="25">
        <f t="shared" ref="H499:L499" si="210">SUM(H500)</f>
        <v>356400.76</v>
      </c>
      <c r="I499" s="25">
        <f t="shared" si="210"/>
        <v>377814.5</v>
      </c>
      <c r="J499" s="129">
        <f t="shared" si="210"/>
        <v>0</v>
      </c>
      <c r="K499" s="129">
        <f t="shared" si="210"/>
        <v>315638.39</v>
      </c>
      <c r="L499" s="140">
        <f t="shared" si="210"/>
        <v>0</v>
      </c>
      <c r="O499" s="88">
        <f t="shared" si="185"/>
        <v>0</v>
      </c>
      <c r="P499" s="123" t="str">
        <f t="shared" si="186"/>
        <v/>
      </c>
      <c r="Q499" s="88">
        <f t="shared" si="187"/>
        <v>377814.5</v>
      </c>
      <c r="R499" s="123">
        <f t="shared" si="188"/>
        <v>0</v>
      </c>
      <c r="S499" s="88">
        <f t="shared" si="190"/>
        <v>315638.39</v>
      </c>
      <c r="T499" s="124">
        <f t="shared" si="192"/>
        <v>0</v>
      </c>
      <c r="U499" s="88">
        <f t="shared" si="193"/>
        <v>62176.109999999986</v>
      </c>
      <c r="V499" s="124">
        <f t="shared" si="194"/>
        <v>0.83543217637226741</v>
      </c>
      <c r="W499" s="157">
        <f t="shared" si="195"/>
        <v>7</v>
      </c>
    </row>
    <row r="500" spans="1:23" ht="11.25" customHeight="1" x14ac:dyDescent="0.25">
      <c r="A500" s="42" t="s">
        <v>1382</v>
      </c>
      <c r="B500" s="282">
        <f t="shared" si="189"/>
        <v>11</v>
      </c>
      <c r="C500" s="14"/>
      <c r="D500" s="13"/>
      <c r="E500" s="13"/>
      <c r="F500" s="373" t="s">
        <v>513</v>
      </c>
      <c r="G500" s="374"/>
      <c r="H500" s="11">
        <v>356400.76</v>
      </c>
      <c r="I500" s="11">
        <v>377814.5</v>
      </c>
      <c r="J500" s="336">
        <v>0</v>
      </c>
      <c r="K500" s="130">
        <v>315638.39</v>
      </c>
      <c r="L500" s="141"/>
      <c r="O500" s="88">
        <f t="shared" si="185"/>
        <v>0</v>
      </c>
      <c r="P500" s="123" t="str">
        <f t="shared" si="186"/>
        <v/>
      </c>
      <c r="Q500" s="88">
        <f t="shared" si="187"/>
        <v>377814.5</v>
      </c>
      <c r="R500" s="123">
        <f t="shared" si="188"/>
        <v>0</v>
      </c>
      <c r="S500" s="88">
        <f t="shared" si="190"/>
        <v>315638.39</v>
      </c>
      <c r="T500" s="124">
        <f t="shared" si="192"/>
        <v>0</v>
      </c>
      <c r="U500" s="88">
        <f t="shared" si="193"/>
        <v>62176.109999999986</v>
      </c>
      <c r="V500" s="124">
        <f t="shared" si="194"/>
        <v>0.83543217637226741</v>
      </c>
      <c r="W500" s="157">
        <f t="shared" si="195"/>
        <v>11</v>
      </c>
    </row>
    <row r="501" spans="1:23" ht="11.25" customHeight="1" x14ac:dyDescent="0.25">
      <c r="A501" s="26" t="s">
        <v>1383</v>
      </c>
      <c r="B501" s="282">
        <f t="shared" si="189"/>
        <v>7</v>
      </c>
      <c r="C501" s="26"/>
      <c r="D501" s="23"/>
      <c r="E501" s="23"/>
      <c r="F501" s="379" t="s">
        <v>514</v>
      </c>
      <c r="G501" s="380"/>
      <c r="H501" s="25">
        <f t="shared" ref="H501:L501" si="211">SUM(H502:H508)</f>
        <v>-254015712</v>
      </c>
      <c r="I501" s="25">
        <f t="shared" si="211"/>
        <v>-259696639</v>
      </c>
      <c r="J501" s="129">
        <f t="shared" si="211"/>
        <v>-274899999.99999022</v>
      </c>
      <c r="K501" s="129">
        <f t="shared" si="211"/>
        <v>-264955096</v>
      </c>
      <c r="L501" s="140">
        <f t="shared" si="211"/>
        <v>-273339731</v>
      </c>
      <c r="M501" s="104" t="s">
        <v>1748</v>
      </c>
      <c r="O501" s="88">
        <f t="shared" si="185"/>
        <v>-1560268.9999902248</v>
      </c>
      <c r="P501" s="123">
        <f t="shared" si="186"/>
        <v>0.99432423062935515</v>
      </c>
      <c r="Q501" s="88">
        <f t="shared" si="187"/>
        <v>13643092</v>
      </c>
      <c r="R501" s="123">
        <f t="shared" si="188"/>
        <v>1.0525347268741509</v>
      </c>
      <c r="S501" s="88">
        <f t="shared" si="190"/>
        <v>8384635</v>
      </c>
      <c r="T501" s="124">
        <f t="shared" si="192"/>
        <v>1.0316454943746391</v>
      </c>
      <c r="U501" s="88">
        <f t="shared" si="193"/>
        <v>5258457</v>
      </c>
      <c r="V501" s="124">
        <f t="shared" si="194"/>
        <v>1.0202484599733306</v>
      </c>
      <c r="W501" s="157">
        <f t="shared" si="195"/>
        <v>7</v>
      </c>
    </row>
    <row r="502" spans="1:23" ht="11.25" customHeight="1" x14ac:dyDescent="0.25">
      <c r="A502" s="42" t="s">
        <v>1384</v>
      </c>
      <c r="B502" s="282">
        <f t="shared" si="189"/>
        <v>11</v>
      </c>
      <c r="C502" s="20" t="s">
        <v>916</v>
      </c>
      <c r="D502" s="20" t="s">
        <v>923</v>
      </c>
      <c r="E502" s="20" t="s">
        <v>1246</v>
      </c>
      <c r="F502" s="373" t="s">
        <v>515</v>
      </c>
      <c r="G502" s="374"/>
      <c r="H502" s="11">
        <v>-6745938</v>
      </c>
      <c r="I502" s="11">
        <v>-5831882</v>
      </c>
      <c r="J502" s="336">
        <v>-9641999.9999998193</v>
      </c>
      <c r="K502" s="130">
        <v>-5813900</v>
      </c>
      <c r="L502" s="142">
        <v>-5932180</v>
      </c>
      <c r="M502" s="104">
        <v>274000000</v>
      </c>
      <c r="O502" s="88">
        <f t="shared" si="185"/>
        <v>-3709819.9999998193</v>
      </c>
      <c r="P502" s="123">
        <f t="shared" si="186"/>
        <v>0.61524372536819238</v>
      </c>
      <c r="Q502" s="88">
        <f t="shared" si="187"/>
        <v>100298</v>
      </c>
      <c r="R502" s="123">
        <f t="shared" si="188"/>
        <v>1.0171982217747204</v>
      </c>
      <c r="S502" s="88">
        <f t="shared" si="190"/>
        <v>118280</v>
      </c>
      <c r="T502" s="124">
        <f t="shared" si="192"/>
        <v>1.020344347167994</v>
      </c>
      <c r="U502" s="88">
        <f t="shared" si="193"/>
        <v>-17982</v>
      </c>
      <c r="V502" s="124">
        <f t="shared" si="194"/>
        <v>0.99691660427971618</v>
      </c>
      <c r="W502" s="157">
        <f t="shared" si="195"/>
        <v>11</v>
      </c>
    </row>
    <row r="503" spans="1:23" ht="11.25" customHeight="1" x14ac:dyDescent="0.25">
      <c r="A503" s="42" t="s">
        <v>1385</v>
      </c>
      <c r="B503" s="282">
        <f t="shared" si="189"/>
        <v>11</v>
      </c>
      <c r="C503" s="20" t="s">
        <v>916</v>
      </c>
      <c r="D503" s="20" t="s">
        <v>923</v>
      </c>
      <c r="E503" s="20" t="s">
        <v>1246</v>
      </c>
      <c r="F503" s="373" t="s">
        <v>516</v>
      </c>
      <c r="G503" s="374"/>
      <c r="H503" s="11">
        <v>-24673001</v>
      </c>
      <c r="I503" s="11">
        <v>-40664691</v>
      </c>
      <c r="J503" s="336">
        <v>-30059999.999997102</v>
      </c>
      <c r="K503" s="130">
        <v>-30592007.890000001</v>
      </c>
      <c r="L503" s="183">
        <f>-30656215-2028607-956000</f>
        <v>-33640822</v>
      </c>
      <c r="O503" s="88">
        <f t="shared" si="185"/>
        <v>3580822.0000028983</v>
      </c>
      <c r="P503" s="123">
        <f t="shared" si="186"/>
        <v>1.1191224883567279</v>
      </c>
      <c r="Q503" s="88">
        <f t="shared" si="187"/>
        <v>-7023869</v>
      </c>
      <c r="R503" s="123">
        <f t="shared" si="188"/>
        <v>0.82727351844380181</v>
      </c>
      <c r="S503" s="88">
        <f t="shared" si="190"/>
        <v>3048814.1099999994</v>
      </c>
      <c r="T503" s="124">
        <f t="shared" si="192"/>
        <v>1.0996604773692087</v>
      </c>
      <c r="U503" s="88">
        <f t="shared" si="193"/>
        <v>-10072683.109999999</v>
      </c>
      <c r="V503" s="124">
        <f t="shared" si="194"/>
        <v>0.75229903726552361</v>
      </c>
      <c r="W503" s="157">
        <f t="shared" si="195"/>
        <v>11</v>
      </c>
    </row>
    <row r="504" spans="1:23" ht="11.25" customHeight="1" x14ac:dyDescent="0.25">
      <c r="A504" s="42" t="s">
        <v>1386</v>
      </c>
      <c r="B504" s="282">
        <f t="shared" si="189"/>
        <v>11</v>
      </c>
      <c r="C504" s="20" t="s">
        <v>916</v>
      </c>
      <c r="D504" s="20" t="s">
        <v>923</v>
      </c>
      <c r="E504" s="20" t="s">
        <v>1246</v>
      </c>
      <c r="F504" s="373" t="s">
        <v>517</v>
      </c>
      <c r="G504" s="374"/>
      <c r="H504" s="11">
        <v>-74306521</v>
      </c>
      <c r="I504" s="11">
        <v>-72659017</v>
      </c>
      <c r="J504" s="336">
        <v>-87286999.999998495</v>
      </c>
      <c r="K504" s="130">
        <v>-81862389.979999796</v>
      </c>
      <c r="L504" s="212">
        <f>-77663795-2859088-22044000+2000000</f>
        <v>-100566883</v>
      </c>
      <c r="O504" s="88">
        <f t="shared" si="185"/>
        <v>13279883.000001505</v>
      </c>
      <c r="P504" s="123">
        <f t="shared" si="186"/>
        <v>1.1521404447397863</v>
      </c>
      <c r="Q504" s="88">
        <f t="shared" si="187"/>
        <v>27907866</v>
      </c>
      <c r="R504" s="123">
        <f t="shared" si="188"/>
        <v>1.3840936356185496</v>
      </c>
      <c r="S504" s="88">
        <f t="shared" si="190"/>
        <v>18704493.020000204</v>
      </c>
      <c r="T504" s="124">
        <f t="shared" si="192"/>
        <v>1.2284870136893145</v>
      </c>
      <c r="U504" s="88">
        <f t="shared" si="193"/>
        <v>9203372.9799997956</v>
      </c>
      <c r="V504" s="124">
        <f t="shared" si="194"/>
        <v>1.1266652558759471</v>
      </c>
      <c r="W504" s="157">
        <f t="shared" si="195"/>
        <v>11</v>
      </c>
    </row>
    <row r="505" spans="1:23" ht="11.25" customHeight="1" x14ac:dyDescent="0.25">
      <c r="A505" s="42" t="s">
        <v>1387</v>
      </c>
      <c r="B505" s="282">
        <f t="shared" si="189"/>
        <v>11</v>
      </c>
      <c r="C505" s="20" t="s">
        <v>916</v>
      </c>
      <c r="D505" s="20" t="s">
        <v>923</v>
      </c>
      <c r="E505" s="20" t="s">
        <v>1246</v>
      </c>
      <c r="F505" s="373" t="s">
        <v>518</v>
      </c>
      <c r="G505" s="374"/>
      <c r="H505" s="11">
        <v>-40374380</v>
      </c>
      <c r="I505" s="11">
        <v>-45241477</v>
      </c>
      <c r="J505" s="336">
        <v>-44045999.999998502</v>
      </c>
      <c r="K505" s="130">
        <v>-43341757.310000002</v>
      </c>
      <c r="L505" s="183">
        <f>-33953161-324306</f>
        <v>-34277467</v>
      </c>
      <c r="O505" s="88">
        <f t="shared" si="185"/>
        <v>-9768532.9999985024</v>
      </c>
      <c r="P505" s="123">
        <f t="shared" si="186"/>
        <v>0.77821974753669265</v>
      </c>
      <c r="Q505" s="88">
        <f t="shared" si="187"/>
        <v>-10964010</v>
      </c>
      <c r="R505" s="123">
        <f t="shared" si="188"/>
        <v>0.75765579006184969</v>
      </c>
      <c r="S505" s="88">
        <f t="shared" si="190"/>
        <v>-9064290.3100000024</v>
      </c>
      <c r="T505" s="124">
        <f t="shared" si="192"/>
        <v>0.79086472555397169</v>
      </c>
      <c r="U505" s="88">
        <f t="shared" si="193"/>
        <v>-1899719.6899999976</v>
      </c>
      <c r="V505" s="124">
        <f t="shared" si="194"/>
        <v>0.95800933532740329</v>
      </c>
      <c r="W505" s="157">
        <f t="shared" si="195"/>
        <v>11</v>
      </c>
    </row>
    <row r="506" spans="1:23" ht="11.25" customHeight="1" x14ac:dyDescent="0.25">
      <c r="A506" s="42" t="s">
        <v>1388</v>
      </c>
      <c r="B506" s="282">
        <f t="shared" si="189"/>
        <v>11</v>
      </c>
      <c r="C506" s="20" t="s">
        <v>916</v>
      </c>
      <c r="D506" s="20" t="s">
        <v>923</v>
      </c>
      <c r="E506" s="20" t="s">
        <v>1246</v>
      </c>
      <c r="F506" s="373" t="s">
        <v>519</v>
      </c>
      <c r="G506" s="374"/>
      <c r="H506" s="11">
        <v>-19930844</v>
      </c>
      <c r="I506" s="11">
        <v>-20975283</v>
      </c>
      <c r="J506" s="336">
        <v>-21883999.999997798</v>
      </c>
      <c r="K506" s="130">
        <v>-21895943.1100001</v>
      </c>
      <c r="L506" s="183">
        <v>-22352202</v>
      </c>
      <c r="O506" s="88">
        <f t="shared" si="185"/>
        <v>468202.00000220165</v>
      </c>
      <c r="P506" s="123">
        <f t="shared" si="186"/>
        <v>1.0213947176020037</v>
      </c>
      <c r="Q506" s="88">
        <f t="shared" si="187"/>
        <v>1376919</v>
      </c>
      <c r="R506" s="123">
        <f t="shared" si="188"/>
        <v>1.0656448353998371</v>
      </c>
      <c r="S506" s="88">
        <f t="shared" si="190"/>
        <v>456258.88999990001</v>
      </c>
      <c r="T506" s="124">
        <f t="shared" si="192"/>
        <v>1.0208375993538055</v>
      </c>
      <c r="U506" s="88">
        <f t="shared" si="193"/>
        <v>920660.11000009999</v>
      </c>
      <c r="V506" s="124">
        <f t="shared" si="194"/>
        <v>1.0438926192318883</v>
      </c>
      <c r="W506" s="157">
        <f t="shared" si="195"/>
        <v>11</v>
      </c>
    </row>
    <row r="507" spans="1:23" ht="11.25" customHeight="1" x14ac:dyDescent="0.25">
      <c r="A507" s="42" t="s">
        <v>1389</v>
      </c>
      <c r="B507" s="282">
        <f t="shared" si="189"/>
        <v>11</v>
      </c>
      <c r="C507" s="20" t="s">
        <v>916</v>
      </c>
      <c r="D507" s="20" t="s">
        <v>923</v>
      </c>
      <c r="E507" s="20" t="s">
        <v>1246</v>
      </c>
      <c r="F507" s="373" t="s">
        <v>520</v>
      </c>
      <c r="G507" s="374"/>
      <c r="H507" s="11">
        <v>-76335701</v>
      </c>
      <c r="I507" s="11">
        <v>-63568276</v>
      </c>
      <c r="J507" s="336">
        <v>-71196999.999998897</v>
      </c>
      <c r="K507" s="130">
        <v>-70663992.0200001</v>
      </c>
      <c r="L507" s="183">
        <f>-67602532-148764+638016</f>
        <v>-67113280</v>
      </c>
      <c r="O507" s="88">
        <f t="shared" si="185"/>
        <v>-4083719.9999988973</v>
      </c>
      <c r="P507" s="123">
        <f t="shared" si="186"/>
        <v>0.94264196525135946</v>
      </c>
      <c r="Q507" s="88">
        <f t="shared" si="187"/>
        <v>3545004</v>
      </c>
      <c r="R507" s="123">
        <f t="shared" si="188"/>
        <v>1.0557668734008139</v>
      </c>
      <c r="S507" s="88">
        <f t="shared" si="190"/>
        <v>-3550712.0200001001</v>
      </c>
      <c r="T507" s="124">
        <f t="shared" si="192"/>
        <v>0.94975217337006468</v>
      </c>
      <c r="U507" s="88">
        <f t="shared" si="193"/>
        <v>7095716.0200001001</v>
      </c>
      <c r="V507" s="124">
        <f t="shared" si="194"/>
        <v>1.1116235403332333</v>
      </c>
      <c r="W507" s="157">
        <f t="shared" si="195"/>
        <v>11</v>
      </c>
    </row>
    <row r="508" spans="1:23" ht="11.25" customHeight="1" x14ac:dyDescent="0.25">
      <c r="A508" s="42" t="s">
        <v>1390</v>
      </c>
      <c r="B508" s="282">
        <f t="shared" si="189"/>
        <v>11</v>
      </c>
      <c r="C508" s="20" t="s">
        <v>916</v>
      </c>
      <c r="D508" s="20" t="s">
        <v>923</v>
      </c>
      <c r="E508" s="20" t="s">
        <v>1246</v>
      </c>
      <c r="F508" s="373" t="s">
        <v>521</v>
      </c>
      <c r="G508" s="374"/>
      <c r="H508" s="11">
        <v>-11649327</v>
      </c>
      <c r="I508" s="11">
        <v>-10756013</v>
      </c>
      <c r="J508" s="336">
        <v>-10783999.9999996</v>
      </c>
      <c r="K508" s="130">
        <v>-10785105.689999999</v>
      </c>
      <c r="L508" s="183">
        <f>-9447589-9308</f>
        <v>-9456897</v>
      </c>
      <c r="O508" s="88">
        <f t="shared" si="185"/>
        <v>-1327102.9999995995</v>
      </c>
      <c r="P508" s="123">
        <f t="shared" si="186"/>
        <v>0.87693777818994356</v>
      </c>
      <c r="Q508" s="88">
        <f t="shared" si="187"/>
        <v>-1299116</v>
      </c>
      <c r="R508" s="123">
        <f t="shared" si="188"/>
        <v>0.87921955839956678</v>
      </c>
      <c r="S508" s="88">
        <f t="shared" si="190"/>
        <v>-1328208.6899999995</v>
      </c>
      <c r="T508" s="124">
        <f t="shared" si="192"/>
        <v>0.87684787445045431</v>
      </c>
      <c r="U508" s="88">
        <f t="shared" si="193"/>
        <v>29092.689999999478</v>
      </c>
      <c r="V508" s="124">
        <f t="shared" si="194"/>
        <v>1.0027047838264977</v>
      </c>
      <c r="W508" s="157">
        <f t="shared" si="195"/>
        <v>11</v>
      </c>
    </row>
    <row r="509" spans="1:23" ht="11.25" customHeight="1" x14ac:dyDescent="0.25">
      <c r="A509" s="26" t="s">
        <v>1391</v>
      </c>
      <c r="B509" s="282">
        <f t="shared" si="189"/>
        <v>7</v>
      </c>
      <c r="C509" s="26"/>
      <c r="D509" s="23"/>
      <c r="E509" s="23"/>
      <c r="F509" s="379" t="s">
        <v>522</v>
      </c>
      <c r="G509" s="380"/>
      <c r="H509" s="25">
        <f t="shared" ref="H509:L509" si="212">SUM(H510:H515)</f>
        <v>-2177865</v>
      </c>
      <c r="I509" s="25">
        <f t="shared" si="212"/>
        <v>-2883836</v>
      </c>
      <c r="J509" s="129">
        <f t="shared" si="212"/>
        <v>0</v>
      </c>
      <c r="K509" s="129">
        <f t="shared" si="212"/>
        <v>-6417080</v>
      </c>
      <c r="L509" s="140">
        <f t="shared" si="212"/>
        <v>-40243421</v>
      </c>
      <c r="O509" s="88">
        <f t="shared" si="185"/>
        <v>40243421</v>
      </c>
      <c r="P509" s="123" t="str">
        <f t="shared" si="186"/>
        <v/>
      </c>
      <c r="Q509" s="88">
        <f t="shared" si="187"/>
        <v>37359585</v>
      </c>
      <c r="R509" s="123">
        <f t="shared" si="188"/>
        <v>13.954823020449151</v>
      </c>
      <c r="S509" s="88">
        <f t="shared" si="190"/>
        <v>33826341</v>
      </c>
      <c r="T509" s="124">
        <f t="shared" si="192"/>
        <v>6.2712980046999567</v>
      </c>
      <c r="U509" s="88">
        <f t="shared" si="193"/>
        <v>3533244</v>
      </c>
      <c r="V509" s="124">
        <f t="shared" si="194"/>
        <v>2.2251889497183615</v>
      </c>
      <c r="W509" s="157">
        <f t="shared" si="195"/>
        <v>7</v>
      </c>
    </row>
    <row r="510" spans="1:23" ht="11.25" customHeight="1" x14ac:dyDescent="0.25">
      <c r="A510" s="42" t="s">
        <v>1392</v>
      </c>
      <c r="B510" s="282">
        <f t="shared" si="189"/>
        <v>11</v>
      </c>
      <c r="C510" s="20" t="s">
        <v>916</v>
      </c>
      <c r="D510" s="20" t="s">
        <v>923</v>
      </c>
      <c r="E510" s="20" t="s">
        <v>1246</v>
      </c>
      <c r="F510" s="373" t="s">
        <v>523</v>
      </c>
      <c r="G510" s="374"/>
      <c r="H510" s="11">
        <v>-1154128</v>
      </c>
      <c r="I510" s="11">
        <v>-2142483</v>
      </c>
      <c r="J510" s="336">
        <v>0</v>
      </c>
      <c r="K510" s="130">
        <v>-1338587</v>
      </c>
      <c r="L510" s="142">
        <v>-1800000</v>
      </c>
      <c r="M510" s="104">
        <v>32000000</v>
      </c>
      <c r="O510" s="88">
        <f t="shared" si="185"/>
        <v>1800000</v>
      </c>
      <c r="P510" s="123" t="str">
        <f t="shared" si="186"/>
        <v/>
      </c>
      <c r="Q510" s="88">
        <f t="shared" si="187"/>
        <v>-342483</v>
      </c>
      <c r="R510" s="123">
        <f t="shared" si="188"/>
        <v>0.84014668961200623</v>
      </c>
      <c r="S510" s="88">
        <f t="shared" si="190"/>
        <v>461413</v>
      </c>
      <c r="T510" s="124">
        <f t="shared" si="192"/>
        <v>1.3447015397579687</v>
      </c>
      <c r="U510" s="88">
        <f t="shared" si="193"/>
        <v>-803896</v>
      </c>
      <c r="V510" s="124">
        <f t="shared" si="194"/>
        <v>0.62478302044870371</v>
      </c>
      <c r="W510" s="157">
        <f t="shared" si="195"/>
        <v>11</v>
      </c>
    </row>
    <row r="511" spans="1:23" ht="11.25" customHeight="1" x14ac:dyDescent="0.25">
      <c r="A511" s="42" t="s">
        <v>1393</v>
      </c>
      <c r="B511" s="282">
        <f t="shared" si="189"/>
        <v>11</v>
      </c>
      <c r="C511" s="20" t="s">
        <v>916</v>
      </c>
      <c r="D511" s="20" t="s">
        <v>923</v>
      </c>
      <c r="E511" s="20" t="s">
        <v>1246</v>
      </c>
      <c r="F511" s="373" t="s">
        <v>524</v>
      </c>
      <c r="G511" s="374"/>
      <c r="H511" s="11">
        <v>-96799</v>
      </c>
      <c r="I511" s="11">
        <v>-174015</v>
      </c>
      <c r="J511" s="336">
        <v>0</v>
      </c>
      <c r="K511" s="130">
        <v>-315655</v>
      </c>
      <c r="L511" s="183"/>
      <c r="O511" s="88">
        <f t="shared" si="185"/>
        <v>0</v>
      </c>
      <c r="P511" s="123" t="str">
        <f t="shared" si="186"/>
        <v/>
      </c>
      <c r="Q511" s="88">
        <f t="shared" si="187"/>
        <v>-174015</v>
      </c>
      <c r="R511" s="123">
        <f t="shared" si="188"/>
        <v>0</v>
      </c>
      <c r="S511" s="88">
        <f t="shared" si="190"/>
        <v>-315655</v>
      </c>
      <c r="T511" s="124">
        <f t="shared" si="192"/>
        <v>0</v>
      </c>
      <c r="U511" s="88">
        <f t="shared" si="193"/>
        <v>141640</v>
      </c>
      <c r="V511" s="124">
        <f t="shared" si="194"/>
        <v>1.8139528201591817</v>
      </c>
      <c r="W511" s="157">
        <f t="shared" si="195"/>
        <v>11</v>
      </c>
    </row>
    <row r="512" spans="1:23" ht="11.25" customHeight="1" x14ac:dyDescent="0.25">
      <c r="A512" s="42" t="s">
        <v>1394</v>
      </c>
      <c r="B512" s="282">
        <f t="shared" si="189"/>
        <v>11</v>
      </c>
      <c r="C512" s="20" t="s">
        <v>916</v>
      </c>
      <c r="D512" s="20" t="s">
        <v>923</v>
      </c>
      <c r="E512" s="20" t="s">
        <v>1246</v>
      </c>
      <c r="F512" s="373" t="s">
        <v>525</v>
      </c>
      <c r="G512" s="374"/>
      <c r="H512" s="11">
        <v>-435316</v>
      </c>
      <c r="I512" s="11">
        <v>0</v>
      </c>
      <c r="J512" s="336">
        <v>0</v>
      </c>
      <c r="K512" s="130">
        <v>-4762838</v>
      </c>
      <c r="L512" s="183">
        <v>-344000</v>
      </c>
      <c r="O512" s="88">
        <f t="shared" si="185"/>
        <v>344000</v>
      </c>
      <c r="P512" s="123" t="str">
        <f t="shared" si="186"/>
        <v/>
      </c>
      <c r="Q512" s="88">
        <f t="shared" si="187"/>
        <v>344000</v>
      </c>
      <c r="R512" s="123" t="str">
        <f t="shared" si="188"/>
        <v/>
      </c>
      <c r="S512" s="88">
        <f t="shared" si="190"/>
        <v>-4418838</v>
      </c>
      <c r="T512" s="124">
        <f t="shared" si="192"/>
        <v>7.2225845178861853E-2</v>
      </c>
      <c r="U512" s="88">
        <f t="shared" si="193"/>
        <v>4762838</v>
      </c>
      <c r="V512" s="124" t="str">
        <f t="shared" si="194"/>
        <v/>
      </c>
      <c r="W512" s="157">
        <f t="shared" si="195"/>
        <v>11</v>
      </c>
    </row>
    <row r="513" spans="1:23" ht="11.25" customHeight="1" x14ac:dyDescent="0.25">
      <c r="A513" s="42" t="s">
        <v>1641</v>
      </c>
      <c r="B513" s="282">
        <f t="shared" si="189"/>
        <v>11</v>
      </c>
      <c r="C513" s="21" t="s">
        <v>916</v>
      </c>
      <c r="D513" s="21" t="s">
        <v>923</v>
      </c>
      <c r="E513" s="21" t="s">
        <v>1246</v>
      </c>
      <c r="F513" s="387" t="s">
        <v>1642</v>
      </c>
      <c r="G513" s="388"/>
      <c r="H513" s="39"/>
      <c r="I513" s="19"/>
      <c r="J513" s="338"/>
      <c r="K513" s="131">
        <v>0</v>
      </c>
      <c r="L513" s="183"/>
      <c r="O513" s="88">
        <f t="shared" si="185"/>
        <v>0</v>
      </c>
      <c r="P513" s="123" t="str">
        <f t="shared" si="186"/>
        <v/>
      </c>
      <c r="Q513" s="88">
        <f t="shared" si="187"/>
        <v>0</v>
      </c>
      <c r="R513" s="123" t="str">
        <f t="shared" si="188"/>
        <v/>
      </c>
      <c r="S513" s="88">
        <f t="shared" si="190"/>
        <v>0</v>
      </c>
      <c r="T513" s="124" t="str">
        <f t="shared" si="192"/>
        <v/>
      </c>
      <c r="U513" s="88">
        <f t="shared" si="193"/>
        <v>0</v>
      </c>
      <c r="V513" s="124" t="str">
        <f t="shared" si="194"/>
        <v/>
      </c>
      <c r="W513" s="157">
        <f t="shared" si="195"/>
        <v>11</v>
      </c>
    </row>
    <row r="514" spans="1:23" ht="11.25" customHeight="1" x14ac:dyDescent="0.25">
      <c r="A514" s="42" t="s">
        <v>1395</v>
      </c>
      <c r="B514" s="282">
        <f t="shared" si="189"/>
        <v>11</v>
      </c>
      <c r="C514" s="14"/>
      <c r="D514" s="13"/>
      <c r="E514" s="13"/>
      <c r="F514" s="373" t="s">
        <v>526</v>
      </c>
      <c r="G514" s="374"/>
      <c r="H514" s="11">
        <v>-173997</v>
      </c>
      <c r="I514" s="11">
        <v>-329698</v>
      </c>
      <c r="J514" s="336">
        <v>0</v>
      </c>
      <c r="K514" s="130">
        <v>0</v>
      </c>
      <c r="L514" s="183">
        <f>-28200000-9261405-638016</f>
        <v>-38099421</v>
      </c>
      <c r="O514" s="88">
        <f t="shared" si="185"/>
        <v>38099421</v>
      </c>
      <c r="P514" s="123" t="str">
        <f t="shared" si="186"/>
        <v/>
      </c>
      <c r="Q514" s="88">
        <f t="shared" si="187"/>
        <v>37769723</v>
      </c>
      <c r="R514" s="123">
        <f t="shared" si="188"/>
        <v>115.55854448616613</v>
      </c>
      <c r="S514" s="88">
        <f t="shared" si="190"/>
        <v>38099421</v>
      </c>
      <c r="T514" s="124" t="str">
        <f t="shared" si="192"/>
        <v/>
      </c>
      <c r="U514" s="88">
        <f t="shared" si="193"/>
        <v>-329698</v>
      </c>
      <c r="V514" s="124">
        <f t="shared" si="194"/>
        <v>0</v>
      </c>
      <c r="W514" s="157">
        <f t="shared" si="195"/>
        <v>11</v>
      </c>
    </row>
    <row r="515" spans="1:23" ht="11.25" customHeight="1" x14ac:dyDescent="0.25">
      <c r="A515" s="42" t="s">
        <v>1396</v>
      </c>
      <c r="B515" s="282">
        <f t="shared" si="189"/>
        <v>11</v>
      </c>
      <c r="C515" s="14"/>
      <c r="D515" s="13"/>
      <c r="E515" s="13"/>
      <c r="F515" s="373" t="s">
        <v>527</v>
      </c>
      <c r="G515" s="374"/>
      <c r="H515" s="11">
        <v>-317625</v>
      </c>
      <c r="I515" s="11">
        <v>-237640</v>
      </c>
      <c r="J515" s="336">
        <v>0</v>
      </c>
      <c r="K515" s="130">
        <v>0</v>
      </c>
      <c r="L515" s="183"/>
      <c r="O515" s="88">
        <f t="shared" si="185"/>
        <v>0</v>
      </c>
      <c r="P515" s="123" t="str">
        <f t="shared" si="186"/>
        <v/>
      </c>
      <c r="Q515" s="88">
        <f t="shared" si="187"/>
        <v>-237640</v>
      </c>
      <c r="R515" s="123">
        <f t="shared" si="188"/>
        <v>0</v>
      </c>
      <c r="S515" s="88">
        <f t="shared" si="190"/>
        <v>0</v>
      </c>
      <c r="T515" s="124" t="str">
        <f t="shared" si="192"/>
        <v/>
      </c>
      <c r="U515" s="88">
        <f t="shared" si="193"/>
        <v>-237640</v>
      </c>
      <c r="V515" s="124">
        <f t="shared" si="194"/>
        <v>0</v>
      </c>
      <c r="W515" s="157">
        <f t="shared" si="195"/>
        <v>11</v>
      </c>
    </row>
    <row r="516" spans="1:23" ht="11.25" customHeight="1" x14ac:dyDescent="0.25">
      <c r="A516" s="26" t="s">
        <v>1397</v>
      </c>
      <c r="B516" s="282">
        <f t="shared" si="189"/>
        <v>7</v>
      </c>
      <c r="C516" s="26"/>
      <c r="D516" s="23"/>
      <c r="E516" s="23"/>
      <c r="F516" s="379" t="s">
        <v>528</v>
      </c>
      <c r="G516" s="380"/>
      <c r="H516" s="25">
        <f t="shared" ref="H516:L516" si="213">SUM(H517:H518)</f>
        <v>-356400.76</v>
      </c>
      <c r="I516" s="25">
        <f t="shared" si="213"/>
        <v>-377814.5</v>
      </c>
      <c r="J516" s="129">
        <f t="shared" si="213"/>
        <v>0</v>
      </c>
      <c r="K516" s="129">
        <f t="shared" si="213"/>
        <v>-315638.39</v>
      </c>
      <c r="L516" s="140">
        <f t="shared" si="213"/>
        <v>0</v>
      </c>
      <c r="O516" s="88">
        <f t="shared" si="185"/>
        <v>0</v>
      </c>
      <c r="P516" s="123" t="str">
        <f t="shared" si="186"/>
        <v/>
      </c>
      <c r="Q516" s="88">
        <f t="shared" si="187"/>
        <v>-377814.5</v>
      </c>
      <c r="R516" s="123">
        <f t="shared" si="188"/>
        <v>0</v>
      </c>
      <c r="S516" s="88">
        <f t="shared" si="190"/>
        <v>-315638.39</v>
      </c>
      <c r="T516" s="124">
        <f t="shared" si="192"/>
        <v>0</v>
      </c>
      <c r="U516" s="88">
        <f t="shared" si="193"/>
        <v>-62176.109999999986</v>
      </c>
      <c r="V516" s="124">
        <f t="shared" si="194"/>
        <v>0.83543217637226741</v>
      </c>
      <c r="W516" s="157">
        <f t="shared" si="195"/>
        <v>7</v>
      </c>
    </row>
    <row r="517" spans="1:23" ht="11.25" customHeight="1" x14ac:dyDescent="0.25">
      <c r="A517" s="42" t="s">
        <v>1398</v>
      </c>
      <c r="B517" s="282">
        <f t="shared" si="189"/>
        <v>11</v>
      </c>
      <c r="C517" s="14"/>
      <c r="D517" s="13"/>
      <c r="E517" s="13"/>
      <c r="F517" s="373" t="s">
        <v>529</v>
      </c>
      <c r="G517" s="374"/>
      <c r="H517" s="11">
        <v>-356400.76</v>
      </c>
      <c r="I517" s="11">
        <v>-377814.5</v>
      </c>
      <c r="J517" s="336">
        <v>0</v>
      </c>
      <c r="K517" s="130">
        <v>-315638.39</v>
      </c>
      <c r="L517" s="183"/>
      <c r="O517" s="88">
        <f t="shared" si="185"/>
        <v>0</v>
      </c>
      <c r="P517" s="123" t="str">
        <f t="shared" si="186"/>
        <v/>
      </c>
      <c r="Q517" s="88">
        <f t="shared" si="187"/>
        <v>-377814.5</v>
      </c>
      <c r="R517" s="123">
        <f t="shared" si="188"/>
        <v>0</v>
      </c>
      <c r="S517" s="88">
        <f t="shared" si="190"/>
        <v>-315638.39</v>
      </c>
      <c r="T517" s="124">
        <f t="shared" si="192"/>
        <v>0</v>
      </c>
      <c r="U517" s="88">
        <f t="shared" si="193"/>
        <v>-62176.109999999986</v>
      </c>
      <c r="V517" s="124">
        <f t="shared" si="194"/>
        <v>0.83543217637226741</v>
      </c>
      <c r="W517" s="157">
        <f t="shared" si="195"/>
        <v>11</v>
      </c>
    </row>
    <row r="518" spans="1:23" ht="11.25" customHeight="1" x14ac:dyDescent="0.25">
      <c r="A518" s="42" t="s">
        <v>1399</v>
      </c>
      <c r="B518" s="282">
        <f t="shared" si="189"/>
        <v>11</v>
      </c>
      <c r="C518" s="14"/>
      <c r="D518" s="13"/>
      <c r="E518" s="13"/>
      <c r="F518" s="373" t="s">
        <v>530</v>
      </c>
      <c r="G518" s="374"/>
      <c r="H518" s="11">
        <v>0</v>
      </c>
      <c r="I518" s="11">
        <v>0</v>
      </c>
      <c r="J518" s="336">
        <v>0</v>
      </c>
      <c r="K518" s="130">
        <v>0</v>
      </c>
      <c r="L518" s="183"/>
      <c r="O518" s="88">
        <f t="shared" si="185"/>
        <v>0</v>
      </c>
      <c r="P518" s="123" t="str">
        <f t="shared" si="186"/>
        <v/>
      </c>
      <c r="Q518" s="88">
        <f t="shared" si="187"/>
        <v>0</v>
      </c>
      <c r="R518" s="123" t="str">
        <f t="shared" si="188"/>
        <v/>
      </c>
      <c r="S518" s="88">
        <f t="shared" si="190"/>
        <v>0</v>
      </c>
      <c r="T518" s="124" t="str">
        <f t="shared" si="192"/>
        <v/>
      </c>
      <c r="U518" s="88">
        <f t="shared" si="193"/>
        <v>0</v>
      </c>
      <c r="V518" s="124" t="str">
        <f t="shared" si="194"/>
        <v/>
      </c>
      <c r="W518" s="157">
        <f t="shared" si="195"/>
        <v>11</v>
      </c>
    </row>
    <row r="519" spans="1:23" ht="11.25" customHeight="1" x14ac:dyDescent="0.25">
      <c r="A519" s="38" t="s">
        <v>531</v>
      </c>
      <c r="B519" s="282">
        <f t="shared" si="189"/>
        <v>4</v>
      </c>
      <c r="C519" s="38"/>
      <c r="D519" s="22"/>
      <c r="E519" s="22"/>
      <c r="F519" s="385" t="s">
        <v>1938</v>
      </c>
      <c r="G519" s="386"/>
      <c r="H519" s="37">
        <v>0</v>
      </c>
      <c r="I519" s="37">
        <v>0</v>
      </c>
      <c r="J519" s="128">
        <v>0</v>
      </c>
      <c r="K519" s="132">
        <v>0</v>
      </c>
      <c r="L519" s="147">
        <f t="shared" ref="L519:L521" si="214">(K519/8)*12</f>
        <v>0</v>
      </c>
      <c r="O519" s="175">
        <f t="shared" si="185"/>
        <v>0</v>
      </c>
      <c r="P519" s="176" t="str">
        <f t="shared" si="186"/>
        <v/>
      </c>
      <c r="Q519" s="175">
        <f t="shared" si="187"/>
        <v>0</v>
      </c>
      <c r="R519" s="176" t="str">
        <f t="shared" si="188"/>
        <v/>
      </c>
      <c r="S519" s="175">
        <f t="shared" si="190"/>
        <v>0</v>
      </c>
      <c r="T519" s="177" t="str">
        <f t="shared" si="192"/>
        <v/>
      </c>
      <c r="U519" s="175">
        <f t="shared" si="193"/>
        <v>0</v>
      </c>
      <c r="V519" s="177" t="str">
        <f t="shared" si="194"/>
        <v/>
      </c>
      <c r="W519" s="157">
        <f t="shared" si="195"/>
        <v>4</v>
      </c>
    </row>
    <row r="520" spans="1:23" ht="11.25" customHeight="1" x14ac:dyDescent="0.25">
      <c r="A520" s="38" t="s">
        <v>533</v>
      </c>
      <c r="B520" s="282">
        <f t="shared" si="189"/>
        <v>4</v>
      </c>
      <c r="C520" s="38"/>
      <c r="D520" s="22"/>
      <c r="E520" s="22"/>
      <c r="F520" s="385" t="s">
        <v>1939</v>
      </c>
      <c r="G520" s="386"/>
      <c r="H520" s="37">
        <v>0</v>
      </c>
      <c r="I520" s="37">
        <v>0</v>
      </c>
      <c r="J520" s="128">
        <v>0</v>
      </c>
      <c r="K520" s="132">
        <v>0</v>
      </c>
      <c r="L520" s="147">
        <f t="shared" si="214"/>
        <v>0</v>
      </c>
      <c r="O520" s="175">
        <f t="shared" si="185"/>
        <v>0</v>
      </c>
      <c r="P520" s="176" t="str">
        <f t="shared" si="186"/>
        <v/>
      </c>
      <c r="Q520" s="175">
        <f t="shared" si="187"/>
        <v>0</v>
      </c>
      <c r="R520" s="176" t="str">
        <f t="shared" si="188"/>
        <v/>
      </c>
      <c r="S520" s="175">
        <f t="shared" si="190"/>
        <v>0</v>
      </c>
      <c r="T520" s="177" t="str">
        <f t="shared" si="192"/>
        <v/>
      </c>
      <c r="U520" s="175">
        <f t="shared" si="193"/>
        <v>0</v>
      </c>
      <c r="V520" s="177" t="str">
        <f t="shared" si="194"/>
        <v/>
      </c>
      <c r="W520" s="157">
        <f t="shared" si="195"/>
        <v>4</v>
      </c>
    </row>
    <row r="521" spans="1:23" ht="11.25" customHeight="1" x14ac:dyDescent="0.25">
      <c r="A521" s="38" t="s">
        <v>535</v>
      </c>
      <c r="B521" s="282">
        <f t="shared" si="189"/>
        <v>4</v>
      </c>
      <c r="C521" s="38"/>
      <c r="D521" s="22"/>
      <c r="E521" s="22"/>
      <c r="F521" s="385" t="s">
        <v>1960</v>
      </c>
      <c r="G521" s="386"/>
      <c r="H521" s="37">
        <v>0</v>
      </c>
      <c r="I521" s="37">
        <v>0</v>
      </c>
      <c r="J521" s="128">
        <v>0</v>
      </c>
      <c r="K521" s="332">
        <v>0</v>
      </c>
      <c r="L521" s="147">
        <f t="shared" si="214"/>
        <v>0</v>
      </c>
      <c r="O521" s="175">
        <f t="shared" si="185"/>
        <v>0</v>
      </c>
      <c r="P521" s="176" t="str">
        <f t="shared" si="186"/>
        <v/>
      </c>
      <c r="Q521" s="175">
        <f t="shared" si="187"/>
        <v>0</v>
      </c>
      <c r="R521" s="176" t="str">
        <f t="shared" si="188"/>
        <v/>
      </c>
      <c r="S521" s="175">
        <f t="shared" si="190"/>
        <v>0</v>
      </c>
      <c r="T521" s="177" t="str">
        <f t="shared" si="192"/>
        <v/>
      </c>
      <c r="U521" s="175">
        <f t="shared" si="193"/>
        <v>0</v>
      </c>
      <c r="V521" s="177" t="str">
        <f t="shared" si="194"/>
        <v/>
      </c>
      <c r="W521" s="157">
        <f t="shared" si="195"/>
        <v>4</v>
      </c>
    </row>
    <row r="522" spans="1:23" ht="11.25" customHeight="1" x14ac:dyDescent="0.25">
      <c r="A522" s="38" t="s">
        <v>537</v>
      </c>
      <c r="B522" s="282">
        <f t="shared" si="189"/>
        <v>4</v>
      </c>
      <c r="C522" s="38"/>
      <c r="D522" s="22"/>
      <c r="E522" s="22"/>
      <c r="F522" s="385" t="s">
        <v>1940</v>
      </c>
      <c r="G522" s="386"/>
      <c r="H522" s="37">
        <f t="shared" ref="H522:L522" si="215">H523+H525</f>
        <v>-957653.85</v>
      </c>
      <c r="I522" s="37">
        <f t="shared" si="215"/>
        <v>-547580.65</v>
      </c>
      <c r="J522" s="128">
        <f t="shared" si="215"/>
        <v>0</v>
      </c>
      <c r="K522" s="333">
        <f t="shared" si="215"/>
        <v>-286013.71000000002</v>
      </c>
      <c r="L522" s="139">
        <f t="shared" si="215"/>
        <v>0</v>
      </c>
      <c r="O522" s="175">
        <f t="shared" si="185"/>
        <v>0</v>
      </c>
      <c r="P522" s="176" t="str">
        <f t="shared" si="186"/>
        <v/>
      </c>
      <c r="Q522" s="175">
        <f t="shared" si="187"/>
        <v>-547580.65</v>
      </c>
      <c r="R522" s="176">
        <f t="shared" si="188"/>
        <v>0</v>
      </c>
      <c r="S522" s="175">
        <f t="shared" si="190"/>
        <v>-286013.71000000002</v>
      </c>
      <c r="T522" s="177">
        <f t="shared" si="192"/>
        <v>0</v>
      </c>
      <c r="U522" s="175">
        <f t="shared" si="193"/>
        <v>-261566.94</v>
      </c>
      <c r="V522" s="177">
        <f t="shared" si="194"/>
        <v>0.52232252911055199</v>
      </c>
      <c r="W522" s="157">
        <f t="shared" si="195"/>
        <v>4</v>
      </c>
    </row>
    <row r="523" spans="1:23" ht="11.25" customHeight="1" x14ac:dyDescent="0.25">
      <c r="A523" s="26" t="s">
        <v>1400</v>
      </c>
      <c r="B523" s="282">
        <f t="shared" si="189"/>
        <v>7</v>
      </c>
      <c r="C523" s="26"/>
      <c r="D523" s="23"/>
      <c r="E523" s="23"/>
      <c r="F523" s="379" t="s">
        <v>539</v>
      </c>
      <c r="G523" s="380"/>
      <c r="H523" s="25">
        <f t="shared" ref="H523:L523" si="216">H524</f>
        <v>-23320</v>
      </c>
      <c r="I523" s="25">
        <f t="shared" si="216"/>
        <v>-4188</v>
      </c>
      <c r="J523" s="129">
        <f t="shared" si="216"/>
        <v>0</v>
      </c>
      <c r="K523" s="334">
        <f t="shared" si="216"/>
        <v>-1560</v>
      </c>
      <c r="L523" s="140">
        <f t="shared" si="216"/>
        <v>0</v>
      </c>
      <c r="O523" s="88">
        <f t="shared" ref="O523:O586" si="217">-L523+J523</f>
        <v>0</v>
      </c>
      <c r="P523" s="123" t="str">
        <f t="shared" ref="P523:P586" si="218">IF(J523=0,"",L523/J523)</f>
        <v/>
      </c>
      <c r="Q523" s="88">
        <f t="shared" ref="Q523:Q586" si="219">-L523+I523</f>
        <v>-4188</v>
      </c>
      <c r="R523" s="123">
        <f t="shared" ref="R523:R586" si="220">IF(I523=0,"",L523/I523)</f>
        <v>0</v>
      </c>
      <c r="S523" s="88">
        <f t="shared" si="190"/>
        <v>-1560</v>
      </c>
      <c r="T523" s="124">
        <f t="shared" si="192"/>
        <v>0</v>
      </c>
      <c r="U523" s="88">
        <f t="shared" si="193"/>
        <v>-2628</v>
      </c>
      <c r="V523" s="124">
        <f t="shared" si="194"/>
        <v>0.37249283667621774</v>
      </c>
      <c r="W523" s="157">
        <f t="shared" si="195"/>
        <v>7</v>
      </c>
    </row>
    <row r="524" spans="1:23" ht="11.25" customHeight="1" x14ac:dyDescent="0.25">
      <c r="A524" s="42" t="s">
        <v>1401</v>
      </c>
      <c r="B524" s="282">
        <f t="shared" ref="B524:B586" si="221">LEN(A524)</f>
        <v>11</v>
      </c>
      <c r="C524" s="14"/>
      <c r="D524" s="13"/>
      <c r="E524" s="13"/>
      <c r="F524" s="373" t="s">
        <v>540</v>
      </c>
      <c r="G524" s="374"/>
      <c r="H524" s="11">
        <v>-23320</v>
      </c>
      <c r="I524" s="11">
        <v>-4188</v>
      </c>
      <c r="J524" s="336">
        <v>0</v>
      </c>
      <c r="K524" s="130">
        <v>-1560</v>
      </c>
      <c r="L524" s="184"/>
      <c r="O524" s="88">
        <f t="shared" si="217"/>
        <v>0</v>
      </c>
      <c r="P524" s="123" t="str">
        <f t="shared" si="218"/>
        <v/>
      </c>
      <c r="Q524" s="88">
        <f t="shared" si="219"/>
        <v>-4188</v>
      </c>
      <c r="R524" s="123">
        <f t="shared" si="220"/>
        <v>0</v>
      </c>
      <c r="S524" s="88">
        <f t="shared" ref="S524:S587" si="222">-L524+K524</f>
        <v>-1560</v>
      </c>
      <c r="T524" s="124">
        <f t="shared" si="192"/>
        <v>0</v>
      </c>
      <c r="U524" s="88">
        <f t="shared" si="193"/>
        <v>-2628</v>
      </c>
      <c r="V524" s="124">
        <f t="shared" si="194"/>
        <v>0.37249283667621774</v>
      </c>
      <c r="W524" s="157">
        <f t="shared" si="195"/>
        <v>11</v>
      </c>
    </row>
    <row r="525" spans="1:23" ht="11.25" customHeight="1" x14ac:dyDescent="0.25">
      <c r="A525" s="26" t="s">
        <v>1402</v>
      </c>
      <c r="B525" s="282">
        <f t="shared" si="221"/>
        <v>7</v>
      </c>
      <c r="C525" s="26"/>
      <c r="D525" s="23"/>
      <c r="E525" s="23"/>
      <c r="F525" s="379" t="s">
        <v>541</v>
      </c>
      <c r="G525" s="380"/>
      <c r="H525" s="25">
        <f t="shared" ref="H525:L525" si="223">H526</f>
        <v>-934333.85</v>
      </c>
      <c r="I525" s="25">
        <f t="shared" si="223"/>
        <v>-543392.65</v>
      </c>
      <c r="J525" s="129">
        <f t="shared" si="223"/>
        <v>0</v>
      </c>
      <c r="K525" s="129">
        <f t="shared" si="223"/>
        <v>-284453.71000000002</v>
      </c>
      <c r="L525" s="140">
        <f t="shared" si="223"/>
        <v>0</v>
      </c>
      <c r="O525" s="88">
        <f t="shared" si="217"/>
        <v>0</v>
      </c>
      <c r="P525" s="123" t="str">
        <f t="shared" si="218"/>
        <v/>
      </c>
      <c r="Q525" s="88">
        <f t="shared" si="219"/>
        <v>-543392.65</v>
      </c>
      <c r="R525" s="123">
        <f t="shared" si="220"/>
        <v>0</v>
      </c>
      <c r="S525" s="88">
        <f t="shared" si="222"/>
        <v>-284453.71000000002</v>
      </c>
      <c r="T525" s="124">
        <f t="shared" ref="T525:T588" si="224">IF(K525=0,"",L525/K525)</f>
        <v>0</v>
      </c>
      <c r="U525" s="88">
        <f t="shared" ref="U525:U588" si="225">-K525+I525</f>
        <v>-258938.94</v>
      </c>
      <c r="V525" s="124">
        <f t="shared" ref="V525:V588" si="226">IF(I525=0,"",K525/I525)</f>
        <v>0.52347728663610005</v>
      </c>
      <c r="W525" s="157">
        <f t="shared" si="195"/>
        <v>7</v>
      </c>
    </row>
    <row r="526" spans="1:23" ht="11.25" customHeight="1" x14ac:dyDescent="0.25">
      <c r="A526" s="42" t="s">
        <v>1403</v>
      </c>
      <c r="B526" s="282">
        <f t="shared" si="221"/>
        <v>11</v>
      </c>
      <c r="C526" s="14"/>
      <c r="D526" s="13"/>
      <c r="E526" s="13"/>
      <c r="F526" s="373" t="s">
        <v>542</v>
      </c>
      <c r="G526" s="374"/>
      <c r="H526" s="11">
        <v>-934333.85</v>
      </c>
      <c r="I526" s="11">
        <v>-543392.65</v>
      </c>
      <c r="J526" s="336">
        <v>0</v>
      </c>
      <c r="K526" s="130">
        <v>-284453.71000000002</v>
      </c>
      <c r="L526" s="184"/>
      <c r="O526" s="88">
        <f t="shared" si="217"/>
        <v>0</v>
      </c>
      <c r="P526" s="123" t="str">
        <f t="shared" si="218"/>
        <v/>
      </c>
      <c r="Q526" s="88">
        <f t="shared" si="219"/>
        <v>-543392.65</v>
      </c>
      <c r="R526" s="123">
        <f t="shared" si="220"/>
        <v>0</v>
      </c>
      <c r="S526" s="88">
        <f t="shared" si="222"/>
        <v>-284453.71000000002</v>
      </c>
      <c r="T526" s="124">
        <f t="shared" si="224"/>
        <v>0</v>
      </c>
      <c r="U526" s="88">
        <f t="shared" si="225"/>
        <v>-258938.94</v>
      </c>
      <c r="V526" s="124">
        <f t="shared" si="226"/>
        <v>0.52347728663610005</v>
      </c>
      <c r="W526" s="157">
        <f t="shared" si="195"/>
        <v>11</v>
      </c>
    </row>
    <row r="527" spans="1:23" ht="11.25" customHeight="1" x14ac:dyDescent="0.25">
      <c r="A527" s="38" t="s">
        <v>543</v>
      </c>
      <c r="B527" s="282">
        <f t="shared" si="221"/>
        <v>4</v>
      </c>
      <c r="C527" s="38"/>
      <c r="D527" s="22"/>
      <c r="E527" s="22"/>
      <c r="F527" s="385" t="s">
        <v>1941</v>
      </c>
      <c r="G527" s="386"/>
      <c r="H527" s="37">
        <f t="shared" ref="H527:L527" si="227">H528+H530+H535+H543+H548+H553+H557+H561</f>
        <v>-46717437.960000001</v>
      </c>
      <c r="I527" s="37">
        <f t="shared" si="227"/>
        <v>-44727634.100000009</v>
      </c>
      <c r="J527" s="128">
        <f t="shared" si="227"/>
        <v>-49291333.333333194</v>
      </c>
      <c r="K527" s="333">
        <f t="shared" si="227"/>
        <v>-29316477.199999999</v>
      </c>
      <c r="L527" s="139">
        <f t="shared" si="227"/>
        <v>-60145570</v>
      </c>
      <c r="O527" s="175">
        <f t="shared" si="217"/>
        <v>10854236.666666806</v>
      </c>
      <c r="P527" s="176">
        <f t="shared" si="218"/>
        <v>1.2202057833020037</v>
      </c>
      <c r="Q527" s="175">
        <f t="shared" si="219"/>
        <v>15417935.899999991</v>
      </c>
      <c r="R527" s="176">
        <f t="shared" si="220"/>
        <v>1.3447071639320174</v>
      </c>
      <c r="S527" s="175">
        <f t="shared" si="222"/>
        <v>30829092.800000001</v>
      </c>
      <c r="T527" s="177">
        <f t="shared" si="224"/>
        <v>2.0515960901332306</v>
      </c>
      <c r="U527" s="175">
        <f t="shared" si="225"/>
        <v>-15411156.90000001</v>
      </c>
      <c r="V527" s="177">
        <f t="shared" si="226"/>
        <v>0.65544439785157327</v>
      </c>
      <c r="W527" s="157">
        <f t="shared" ref="W527:W590" si="228">LEN(A527)</f>
        <v>4</v>
      </c>
    </row>
    <row r="528" spans="1:23" ht="11.25" customHeight="1" x14ac:dyDescent="0.25">
      <c r="A528" s="26" t="s">
        <v>1404</v>
      </c>
      <c r="B528" s="282">
        <f t="shared" si="221"/>
        <v>7</v>
      </c>
      <c r="C528" s="26"/>
      <c r="D528" s="23"/>
      <c r="E528" s="23"/>
      <c r="F528" s="379" t="s">
        <v>545</v>
      </c>
      <c r="G528" s="380"/>
      <c r="H528" s="25">
        <f t="shared" ref="H528:L528" si="229">SUM(H529)</f>
        <v>38186.9</v>
      </c>
      <c r="I528" s="25">
        <f t="shared" si="229"/>
        <v>8018.07</v>
      </c>
      <c r="J528" s="129">
        <f t="shared" si="229"/>
        <v>0</v>
      </c>
      <c r="K528" s="129">
        <f t="shared" si="229"/>
        <v>10918.82</v>
      </c>
      <c r="L528" s="140">
        <f t="shared" si="229"/>
        <v>0</v>
      </c>
      <c r="O528" s="88">
        <f t="shared" si="217"/>
        <v>0</v>
      </c>
      <c r="P528" s="123" t="str">
        <f t="shared" si="218"/>
        <v/>
      </c>
      <c r="Q528" s="88">
        <f t="shared" si="219"/>
        <v>8018.07</v>
      </c>
      <c r="R528" s="123">
        <f t="shared" si="220"/>
        <v>0</v>
      </c>
      <c r="S528" s="88">
        <f t="shared" si="222"/>
        <v>10918.82</v>
      </c>
      <c r="T528" s="124">
        <f t="shared" si="224"/>
        <v>0</v>
      </c>
      <c r="U528" s="88">
        <f t="shared" si="225"/>
        <v>-2900.75</v>
      </c>
      <c r="V528" s="124">
        <f t="shared" si="226"/>
        <v>1.3617765871338114</v>
      </c>
      <c r="W528" s="157">
        <f t="shared" si="228"/>
        <v>7</v>
      </c>
    </row>
    <row r="529" spans="1:23" ht="11.25" customHeight="1" x14ac:dyDescent="0.25">
      <c r="A529" s="42" t="s">
        <v>1405</v>
      </c>
      <c r="B529" s="282">
        <f t="shared" si="221"/>
        <v>11</v>
      </c>
      <c r="C529" s="14"/>
      <c r="D529" s="13"/>
      <c r="E529" s="13"/>
      <c r="F529" s="373" t="s">
        <v>546</v>
      </c>
      <c r="G529" s="374"/>
      <c r="H529" s="11">
        <v>38186.9</v>
      </c>
      <c r="I529" s="11">
        <v>8018.07</v>
      </c>
      <c r="J529" s="336">
        <v>0</v>
      </c>
      <c r="K529" s="130">
        <v>10918.82</v>
      </c>
      <c r="L529" s="184"/>
      <c r="O529" s="88">
        <f t="shared" si="217"/>
        <v>0</v>
      </c>
      <c r="P529" s="123" t="str">
        <f t="shared" si="218"/>
        <v/>
      </c>
      <c r="Q529" s="88">
        <f t="shared" si="219"/>
        <v>8018.07</v>
      </c>
      <c r="R529" s="123">
        <f t="shared" si="220"/>
        <v>0</v>
      </c>
      <c r="S529" s="88">
        <f t="shared" si="222"/>
        <v>10918.82</v>
      </c>
      <c r="T529" s="124">
        <f t="shared" si="224"/>
        <v>0</v>
      </c>
      <c r="U529" s="88">
        <f t="shared" si="225"/>
        <v>-2900.75</v>
      </c>
      <c r="V529" s="124">
        <f t="shared" si="226"/>
        <v>1.3617765871338114</v>
      </c>
      <c r="W529" s="157">
        <f t="shared" si="228"/>
        <v>11</v>
      </c>
    </row>
    <row r="530" spans="1:23" ht="11.25" customHeight="1" x14ac:dyDescent="0.25">
      <c r="A530" s="26" t="s">
        <v>1406</v>
      </c>
      <c r="B530" s="282">
        <f t="shared" si="221"/>
        <v>7</v>
      </c>
      <c r="C530" s="26"/>
      <c r="D530" s="23"/>
      <c r="E530" s="23"/>
      <c r="F530" s="379" t="s">
        <v>547</v>
      </c>
      <c r="G530" s="380"/>
      <c r="H530" s="25">
        <f t="shared" ref="H530:L530" si="230">SUM(H531:H534)</f>
        <v>-27148192.98</v>
      </c>
      <c r="I530" s="25">
        <f t="shared" si="230"/>
        <v>-21872360.840000004</v>
      </c>
      <c r="J530" s="129">
        <f t="shared" si="230"/>
        <v>-20953733.333333299</v>
      </c>
      <c r="K530" s="129">
        <f t="shared" si="230"/>
        <v>-13913062.83</v>
      </c>
      <c r="L530" s="140">
        <f t="shared" si="230"/>
        <v>-30000000</v>
      </c>
      <c r="O530" s="88">
        <f t="shared" si="217"/>
        <v>9046266.6666667014</v>
      </c>
      <c r="P530" s="123">
        <f t="shared" si="218"/>
        <v>1.4317257704275475</v>
      </c>
      <c r="Q530" s="88">
        <f t="shared" si="219"/>
        <v>8127639.1599999964</v>
      </c>
      <c r="R530" s="123">
        <f t="shared" si="220"/>
        <v>1.3715940505670623</v>
      </c>
      <c r="S530" s="88">
        <f t="shared" si="222"/>
        <v>16086937.17</v>
      </c>
      <c r="T530" s="124">
        <f t="shared" si="224"/>
        <v>2.15624700086257</v>
      </c>
      <c r="U530" s="88">
        <f t="shared" si="225"/>
        <v>-7959298.0100000035</v>
      </c>
      <c r="V530" s="124">
        <f t="shared" si="226"/>
        <v>0.63610247342645787</v>
      </c>
      <c r="W530" s="157">
        <f t="shared" si="228"/>
        <v>7</v>
      </c>
    </row>
    <row r="531" spans="1:23" ht="11.25" customHeight="1" x14ac:dyDescent="0.25">
      <c r="A531" s="42" t="s">
        <v>1407</v>
      </c>
      <c r="B531" s="282">
        <f t="shared" si="221"/>
        <v>11</v>
      </c>
      <c r="C531" s="20" t="s">
        <v>922</v>
      </c>
      <c r="D531" s="20" t="s">
        <v>920</v>
      </c>
      <c r="E531" s="20" t="s">
        <v>1433</v>
      </c>
      <c r="F531" s="373" t="s">
        <v>548</v>
      </c>
      <c r="G531" s="374"/>
      <c r="H531" s="11">
        <v>-25227963.030000001</v>
      </c>
      <c r="I531" s="11">
        <v>-20058174.600000001</v>
      </c>
      <c r="J531" s="336">
        <v>-20953733.333333299</v>
      </c>
      <c r="K531" s="130">
        <v>-10864606.68</v>
      </c>
      <c r="L531" s="149">
        <f>-48000000+18000000+3000000-3000000</f>
        <v>-30000000</v>
      </c>
      <c r="O531" s="88">
        <f t="shared" si="217"/>
        <v>9046266.6666667014</v>
      </c>
      <c r="P531" s="123">
        <f t="shared" si="218"/>
        <v>1.4317257704275475</v>
      </c>
      <c r="Q531" s="88">
        <f t="shared" si="219"/>
        <v>9941825.3999999985</v>
      </c>
      <c r="R531" s="123">
        <f t="shared" si="220"/>
        <v>1.4956495592575008</v>
      </c>
      <c r="S531" s="88">
        <f t="shared" si="222"/>
        <v>19135393.32</v>
      </c>
      <c r="T531" s="124">
        <f t="shared" si="224"/>
        <v>2.7612596464467685</v>
      </c>
      <c r="U531" s="88">
        <f t="shared" si="225"/>
        <v>-9193567.9200000018</v>
      </c>
      <c r="V531" s="124">
        <f t="shared" si="226"/>
        <v>0.54165480641493657</v>
      </c>
      <c r="W531" s="157">
        <f t="shared" si="228"/>
        <v>11</v>
      </c>
    </row>
    <row r="532" spans="1:23" ht="11.25" customHeight="1" x14ac:dyDescent="0.25">
      <c r="A532" s="42" t="s">
        <v>1408</v>
      </c>
      <c r="B532" s="282">
        <f t="shared" si="221"/>
        <v>11</v>
      </c>
      <c r="C532" s="28" t="s">
        <v>922</v>
      </c>
      <c r="D532" s="20" t="s">
        <v>920</v>
      </c>
      <c r="E532" s="20" t="s">
        <v>1433</v>
      </c>
      <c r="F532" s="373" t="s">
        <v>549</v>
      </c>
      <c r="G532" s="374"/>
      <c r="H532" s="11">
        <v>-1575562.45</v>
      </c>
      <c r="I532" s="11">
        <v>-1580147.19</v>
      </c>
      <c r="J532" s="336">
        <v>0</v>
      </c>
      <c r="K532" s="130">
        <v>-2723224.33</v>
      </c>
      <c r="L532" s="142">
        <v>0</v>
      </c>
      <c r="O532" s="88">
        <f t="shared" si="217"/>
        <v>0</v>
      </c>
      <c r="P532" s="123" t="str">
        <f t="shared" si="218"/>
        <v/>
      </c>
      <c r="Q532" s="88">
        <f t="shared" si="219"/>
        <v>-1580147.19</v>
      </c>
      <c r="R532" s="123">
        <f t="shared" si="220"/>
        <v>0</v>
      </c>
      <c r="S532" s="88">
        <f t="shared" si="222"/>
        <v>-2723224.33</v>
      </c>
      <c r="T532" s="124">
        <f t="shared" si="224"/>
        <v>0</v>
      </c>
      <c r="U532" s="88">
        <f t="shared" si="225"/>
        <v>1143077.1400000001</v>
      </c>
      <c r="V532" s="124">
        <f t="shared" si="226"/>
        <v>1.7233991537206101</v>
      </c>
      <c r="W532" s="157">
        <f t="shared" si="228"/>
        <v>11</v>
      </c>
    </row>
    <row r="533" spans="1:23" ht="11.25" customHeight="1" x14ac:dyDescent="0.25">
      <c r="A533" s="42" t="s">
        <v>1409</v>
      </c>
      <c r="B533" s="282">
        <f t="shared" si="221"/>
        <v>11</v>
      </c>
      <c r="C533" s="14"/>
      <c r="D533" s="13"/>
      <c r="E533" s="13"/>
      <c r="F533" s="373" t="s">
        <v>550</v>
      </c>
      <c r="G533" s="374"/>
      <c r="H533" s="11">
        <v>-241743.5</v>
      </c>
      <c r="I533" s="11">
        <v>-150241.45000000001</v>
      </c>
      <c r="J533" s="336">
        <v>0</v>
      </c>
      <c r="K533" s="130">
        <v>-295787.82</v>
      </c>
      <c r="L533" s="142">
        <v>0</v>
      </c>
      <c r="O533" s="88">
        <f t="shared" si="217"/>
        <v>0</v>
      </c>
      <c r="P533" s="123" t="str">
        <f t="shared" si="218"/>
        <v/>
      </c>
      <c r="Q533" s="88">
        <f t="shared" si="219"/>
        <v>-150241.45000000001</v>
      </c>
      <c r="R533" s="123">
        <f t="shared" si="220"/>
        <v>0</v>
      </c>
      <c r="S533" s="88">
        <f t="shared" si="222"/>
        <v>-295787.82</v>
      </c>
      <c r="T533" s="124">
        <f t="shared" si="224"/>
        <v>0</v>
      </c>
      <c r="U533" s="88">
        <f t="shared" si="225"/>
        <v>145546.37</v>
      </c>
      <c r="V533" s="124">
        <f t="shared" si="226"/>
        <v>1.9687497691216371</v>
      </c>
      <c r="W533" s="157">
        <f t="shared" si="228"/>
        <v>11</v>
      </c>
    </row>
    <row r="534" spans="1:23" ht="11.25" customHeight="1" x14ac:dyDescent="0.25">
      <c r="A534" s="42" t="s">
        <v>1410</v>
      </c>
      <c r="B534" s="282">
        <f t="shared" si="221"/>
        <v>11</v>
      </c>
      <c r="C534" s="14"/>
      <c r="D534" s="13"/>
      <c r="E534" s="13"/>
      <c r="F534" s="373" t="s">
        <v>551</v>
      </c>
      <c r="G534" s="374"/>
      <c r="H534" s="11">
        <v>-102924</v>
      </c>
      <c r="I534" s="11">
        <v>-83797.600000000006</v>
      </c>
      <c r="J534" s="336">
        <v>0</v>
      </c>
      <c r="K534" s="130">
        <v>-29444</v>
      </c>
      <c r="L534" s="142">
        <v>0</v>
      </c>
      <c r="O534" s="88">
        <f t="shared" si="217"/>
        <v>0</v>
      </c>
      <c r="P534" s="123" t="str">
        <f t="shared" si="218"/>
        <v/>
      </c>
      <c r="Q534" s="88">
        <f t="shared" si="219"/>
        <v>-83797.600000000006</v>
      </c>
      <c r="R534" s="123">
        <f t="shared" si="220"/>
        <v>0</v>
      </c>
      <c r="S534" s="88">
        <f t="shared" si="222"/>
        <v>-29444</v>
      </c>
      <c r="T534" s="124">
        <f t="shared" si="224"/>
        <v>0</v>
      </c>
      <c r="U534" s="88">
        <f t="shared" si="225"/>
        <v>-54353.600000000006</v>
      </c>
      <c r="V534" s="124">
        <f t="shared" si="226"/>
        <v>0.35137044497694442</v>
      </c>
      <c r="W534" s="157">
        <f t="shared" si="228"/>
        <v>11</v>
      </c>
    </row>
    <row r="535" spans="1:23" ht="11.25" customHeight="1" x14ac:dyDescent="0.25">
      <c r="A535" s="26" t="s">
        <v>1411</v>
      </c>
      <c r="B535" s="282">
        <f t="shared" si="221"/>
        <v>7</v>
      </c>
      <c r="C535" s="26"/>
      <c r="D535" s="23"/>
      <c r="E535" s="23"/>
      <c r="F535" s="379" t="s">
        <v>552</v>
      </c>
      <c r="G535" s="380"/>
      <c r="H535" s="25">
        <f t="shared" ref="H535:L535" si="231">SUM(H536:H542)</f>
        <v>-3622545.55</v>
      </c>
      <c r="I535" s="25">
        <f t="shared" si="231"/>
        <v>-1720269.17</v>
      </c>
      <c r="J535" s="129">
        <f t="shared" si="231"/>
        <v>-1579999.9999998971</v>
      </c>
      <c r="K535" s="129">
        <f t="shared" si="231"/>
        <v>-1894066.3599999989</v>
      </c>
      <c r="L535" s="140">
        <f t="shared" si="231"/>
        <v>-1605000</v>
      </c>
      <c r="O535" s="88">
        <f t="shared" si="217"/>
        <v>25000.000000102911</v>
      </c>
      <c r="P535" s="123">
        <f t="shared" si="218"/>
        <v>1.0158227848101928</v>
      </c>
      <c r="Q535" s="88">
        <f t="shared" si="219"/>
        <v>-115269.16999999993</v>
      </c>
      <c r="R535" s="123">
        <f t="shared" si="220"/>
        <v>0.93299352682115444</v>
      </c>
      <c r="S535" s="88">
        <f t="shared" si="222"/>
        <v>-289066.35999999894</v>
      </c>
      <c r="T535" s="124">
        <f t="shared" si="224"/>
        <v>0.84738319305771359</v>
      </c>
      <c r="U535" s="88">
        <f t="shared" si="225"/>
        <v>173797.18999999901</v>
      </c>
      <c r="V535" s="124">
        <f t="shared" si="226"/>
        <v>1.1010290674452994</v>
      </c>
      <c r="W535" s="157">
        <f t="shared" si="228"/>
        <v>7</v>
      </c>
    </row>
    <row r="536" spans="1:23" ht="11.25" customHeight="1" x14ac:dyDescent="0.25">
      <c r="A536" s="42" t="s">
        <v>1412</v>
      </c>
      <c r="B536" s="282">
        <f t="shared" si="221"/>
        <v>11</v>
      </c>
      <c r="C536" s="28" t="s">
        <v>916</v>
      </c>
      <c r="D536" s="28" t="s">
        <v>923</v>
      </c>
      <c r="E536" s="28" t="s">
        <v>1037</v>
      </c>
      <c r="F536" s="373" t="s">
        <v>553</v>
      </c>
      <c r="G536" s="374"/>
      <c r="H536" s="11">
        <v>-655057.78</v>
      </c>
      <c r="I536" s="11">
        <v>-783461</v>
      </c>
      <c r="J536" s="336">
        <v>-859999.99999995704</v>
      </c>
      <c r="K536" s="130">
        <v>-919906.71999999904</v>
      </c>
      <c r="L536" s="142">
        <v>-860000</v>
      </c>
      <c r="M536" s="105" t="s">
        <v>1697</v>
      </c>
      <c r="N536" s="105"/>
      <c r="O536" s="88">
        <f t="shared" si="217"/>
        <v>4.2957253754138947E-8</v>
      </c>
      <c r="P536" s="123">
        <f t="shared" si="218"/>
        <v>1.00000000000005</v>
      </c>
      <c r="Q536" s="88">
        <f t="shared" si="219"/>
        <v>76539</v>
      </c>
      <c r="R536" s="123">
        <f t="shared" si="220"/>
        <v>1.0976934397500322</v>
      </c>
      <c r="S536" s="88">
        <f t="shared" si="222"/>
        <v>-59906.719999999041</v>
      </c>
      <c r="T536" s="124">
        <f t="shared" si="224"/>
        <v>0.93487739713435392</v>
      </c>
      <c r="U536" s="88">
        <f t="shared" si="225"/>
        <v>136445.71999999904</v>
      </c>
      <c r="V536" s="124">
        <f t="shared" si="226"/>
        <v>1.174157641541824</v>
      </c>
      <c r="W536" s="157">
        <f t="shared" si="228"/>
        <v>11</v>
      </c>
    </row>
    <row r="537" spans="1:23" ht="11.25" customHeight="1" x14ac:dyDescent="0.25">
      <c r="A537" s="42" t="s">
        <v>1413</v>
      </c>
      <c r="B537" s="282">
        <f t="shared" si="221"/>
        <v>11</v>
      </c>
      <c r="C537" s="28" t="s">
        <v>916</v>
      </c>
      <c r="D537" s="28" t="s">
        <v>923</v>
      </c>
      <c r="E537" s="28" t="s">
        <v>1037</v>
      </c>
      <c r="F537" s="373" t="s">
        <v>554</v>
      </c>
      <c r="G537" s="374"/>
      <c r="H537" s="11">
        <v>-491485.45</v>
      </c>
      <c r="I537" s="11">
        <v>-333203.27</v>
      </c>
      <c r="J537" s="336">
        <v>-479999.99999995198</v>
      </c>
      <c r="K537" s="130">
        <v>-597409.19999999995</v>
      </c>
      <c r="L537" s="142">
        <v>-510000</v>
      </c>
      <c r="O537" s="88">
        <f t="shared" si="217"/>
        <v>30000.000000048021</v>
      </c>
      <c r="P537" s="123">
        <f t="shared" si="218"/>
        <v>1.0625000000001064</v>
      </c>
      <c r="Q537" s="88">
        <f t="shared" si="219"/>
        <v>176796.72999999998</v>
      </c>
      <c r="R537" s="123">
        <f t="shared" si="220"/>
        <v>1.5305972237307275</v>
      </c>
      <c r="S537" s="88">
        <f t="shared" si="222"/>
        <v>-87409.199999999953</v>
      </c>
      <c r="T537" s="124">
        <f t="shared" si="224"/>
        <v>0.85368621708537473</v>
      </c>
      <c r="U537" s="88">
        <f t="shared" si="225"/>
        <v>264205.92999999993</v>
      </c>
      <c r="V537" s="124">
        <f t="shared" si="226"/>
        <v>1.7929271822572448</v>
      </c>
      <c r="W537" s="157">
        <f t="shared" si="228"/>
        <v>11</v>
      </c>
    </row>
    <row r="538" spans="1:23" ht="11.25" customHeight="1" x14ac:dyDescent="0.25">
      <c r="A538" s="42" t="s">
        <v>1414</v>
      </c>
      <c r="B538" s="282">
        <f t="shared" si="221"/>
        <v>11</v>
      </c>
      <c r="C538" s="28" t="s">
        <v>916</v>
      </c>
      <c r="D538" s="28" t="s">
        <v>923</v>
      </c>
      <c r="E538" s="28" t="s">
        <v>1037</v>
      </c>
      <c r="F538" s="373" t="s">
        <v>555</v>
      </c>
      <c r="G538" s="374"/>
      <c r="H538" s="11">
        <v>-100096.38</v>
      </c>
      <c r="I538" s="11">
        <v>-214434.94</v>
      </c>
      <c r="J538" s="336">
        <v>-204999.99999999601</v>
      </c>
      <c r="K538" s="130">
        <v>-151194.47</v>
      </c>
      <c r="L538" s="142">
        <v>-200000</v>
      </c>
      <c r="O538" s="88">
        <f t="shared" si="217"/>
        <v>-4999.9999999960128</v>
      </c>
      <c r="P538" s="123">
        <f t="shared" si="218"/>
        <v>0.97560975609757994</v>
      </c>
      <c r="Q538" s="88">
        <f t="shared" si="219"/>
        <v>-14434.940000000002</v>
      </c>
      <c r="R538" s="123">
        <f t="shared" si="220"/>
        <v>0.93268382475355927</v>
      </c>
      <c r="S538" s="88">
        <f t="shared" si="222"/>
        <v>48805.53</v>
      </c>
      <c r="T538" s="124">
        <f t="shared" si="224"/>
        <v>1.3227997029256426</v>
      </c>
      <c r="U538" s="88">
        <f t="shared" si="225"/>
        <v>-63240.47</v>
      </c>
      <c r="V538" s="124">
        <f t="shared" si="226"/>
        <v>0.7050831828059364</v>
      </c>
      <c r="W538" s="157">
        <f t="shared" si="228"/>
        <v>11</v>
      </c>
    </row>
    <row r="539" spans="1:23" ht="11.25" customHeight="1" x14ac:dyDescent="0.25">
      <c r="A539" s="42" t="s">
        <v>1415</v>
      </c>
      <c r="B539" s="282">
        <f t="shared" si="221"/>
        <v>11</v>
      </c>
      <c r="C539" s="28" t="s">
        <v>916</v>
      </c>
      <c r="D539" s="28" t="s">
        <v>923</v>
      </c>
      <c r="E539" s="28" t="s">
        <v>1037</v>
      </c>
      <c r="F539" s="373" t="s">
        <v>556</v>
      </c>
      <c r="G539" s="374"/>
      <c r="H539" s="11">
        <v>-2275385.64</v>
      </c>
      <c r="I539" s="11">
        <v>-196668.56</v>
      </c>
      <c r="J539" s="336">
        <v>0</v>
      </c>
      <c r="K539" s="130">
        <v>-137864.98000000001</v>
      </c>
      <c r="L539" s="142">
        <v>0</v>
      </c>
      <c r="O539" s="88">
        <f t="shared" si="217"/>
        <v>0</v>
      </c>
      <c r="P539" s="123" t="str">
        <f t="shared" si="218"/>
        <v/>
      </c>
      <c r="Q539" s="88">
        <f t="shared" si="219"/>
        <v>-196668.56</v>
      </c>
      <c r="R539" s="123">
        <f t="shared" si="220"/>
        <v>0</v>
      </c>
      <c r="S539" s="88">
        <f t="shared" si="222"/>
        <v>-137864.98000000001</v>
      </c>
      <c r="T539" s="124">
        <f t="shared" si="224"/>
        <v>0</v>
      </c>
      <c r="U539" s="88">
        <f t="shared" si="225"/>
        <v>-58803.579999999987</v>
      </c>
      <c r="V539" s="124">
        <f t="shared" si="226"/>
        <v>0.70100162425554957</v>
      </c>
      <c r="W539" s="157">
        <f t="shared" si="228"/>
        <v>11</v>
      </c>
    </row>
    <row r="540" spans="1:23" ht="11.25" customHeight="1" x14ac:dyDescent="0.25">
      <c r="A540" s="42" t="s">
        <v>1416</v>
      </c>
      <c r="B540" s="282">
        <f t="shared" si="221"/>
        <v>11</v>
      </c>
      <c r="C540" s="28" t="s">
        <v>916</v>
      </c>
      <c r="D540" s="28" t="s">
        <v>923</v>
      </c>
      <c r="E540" s="28" t="s">
        <v>1037</v>
      </c>
      <c r="F540" s="373" t="s">
        <v>557</v>
      </c>
      <c r="G540" s="374"/>
      <c r="H540" s="11">
        <v>-57548.3</v>
      </c>
      <c r="I540" s="11">
        <v>-144825</v>
      </c>
      <c r="J540" s="336">
        <v>-34999.999999991996</v>
      </c>
      <c r="K540" s="130">
        <v>-65473</v>
      </c>
      <c r="L540" s="142">
        <v>-35000</v>
      </c>
      <c r="O540" s="88">
        <f t="shared" si="217"/>
        <v>8.0035533756017685E-9</v>
      </c>
      <c r="P540" s="123">
        <f t="shared" si="218"/>
        <v>1.0000000000002287</v>
      </c>
      <c r="Q540" s="88">
        <f t="shared" si="219"/>
        <v>-109825</v>
      </c>
      <c r="R540" s="123">
        <f t="shared" si="220"/>
        <v>0.24167098221992059</v>
      </c>
      <c r="S540" s="88">
        <f t="shared" si="222"/>
        <v>-30473</v>
      </c>
      <c r="T540" s="124">
        <f t="shared" si="224"/>
        <v>0.53457150275686161</v>
      </c>
      <c r="U540" s="88">
        <f t="shared" si="225"/>
        <v>-79352</v>
      </c>
      <c r="V540" s="124">
        <f t="shared" si="226"/>
        <v>0.45208354911099602</v>
      </c>
      <c r="W540" s="157">
        <f t="shared" si="228"/>
        <v>11</v>
      </c>
    </row>
    <row r="541" spans="1:23" ht="11.25" customHeight="1" x14ac:dyDescent="0.25">
      <c r="A541" s="42" t="s">
        <v>1417</v>
      </c>
      <c r="B541" s="282">
        <f t="shared" si="221"/>
        <v>11</v>
      </c>
      <c r="C541" s="14"/>
      <c r="D541" s="13"/>
      <c r="E541" s="13"/>
      <c r="F541" s="373" t="s">
        <v>558</v>
      </c>
      <c r="G541" s="374"/>
      <c r="H541" s="11">
        <v>-23160</v>
      </c>
      <c r="I541" s="11">
        <v>-22447.9</v>
      </c>
      <c r="J541" s="336">
        <v>0</v>
      </c>
      <c r="K541" s="130">
        <v>-15138</v>
      </c>
      <c r="L541" s="142">
        <v>0</v>
      </c>
      <c r="O541" s="88">
        <f t="shared" si="217"/>
        <v>0</v>
      </c>
      <c r="P541" s="123" t="str">
        <f t="shared" si="218"/>
        <v/>
      </c>
      <c r="Q541" s="88">
        <f t="shared" si="219"/>
        <v>-22447.9</v>
      </c>
      <c r="R541" s="123">
        <f t="shared" si="220"/>
        <v>0</v>
      </c>
      <c r="S541" s="88">
        <f t="shared" si="222"/>
        <v>-15138</v>
      </c>
      <c r="T541" s="124">
        <f t="shared" si="224"/>
        <v>0</v>
      </c>
      <c r="U541" s="88">
        <f t="shared" si="225"/>
        <v>-7309.9000000000015</v>
      </c>
      <c r="V541" s="124">
        <f t="shared" si="226"/>
        <v>0.674361521567719</v>
      </c>
      <c r="W541" s="157">
        <f t="shared" si="228"/>
        <v>11</v>
      </c>
    </row>
    <row r="542" spans="1:23" ht="11.25" customHeight="1" x14ac:dyDescent="0.25">
      <c r="A542" s="42" t="s">
        <v>1418</v>
      </c>
      <c r="B542" s="282">
        <f t="shared" si="221"/>
        <v>11</v>
      </c>
      <c r="C542" s="14"/>
      <c r="D542" s="13"/>
      <c r="E542" s="13"/>
      <c r="F542" s="373" t="s">
        <v>559</v>
      </c>
      <c r="G542" s="374"/>
      <c r="H542" s="11">
        <v>-19812</v>
      </c>
      <c r="I542" s="11">
        <v>-25228.5</v>
      </c>
      <c r="J542" s="336">
        <v>0</v>
      </c>
      <c r="K542" s="130">
        <v>-7079.99</v>
      </c>
      <c r="L542" s="142">
        <v>0</v>
      </c>
      <c r="O542" s="88">
        <f t="shared" si="217"/>
        <v>0</v>
      </c>
      <c r="P542" s="123" t="str">
        <f t="shared" si="218"/>
        <v/>
      </c>
      <c r="Q542" s="88">
        <f t="shared" si="219"/>
        <v>-25228.5</v>
      </c>
      <c r="R542" s="123">
        <f t="shared" si="220"/>
        <v>0</v>
      </c>
      <c r="S542" s="88">
        <f t="shared" si="222"/>
        <v>-7079.99</v>
      </c>
      <c r="T542" s="124">
        <f t="shared" si="224"/>
        <v>0</v>
      </c>
      <c r="U542" s="88">
        <f t="shared" si="225"/>
        <v>-18148.510000000002</v>
      </c>
      <c r="V542" s="124">
        <f t="shared" si="226"/>
        <v>0.28063459975820998</v>
      </c>
      <c r="W542" s="157">
        <f t="shared" si="228"/>
        <v>11</v>
      </c>
    </row>
    <row r="543" spans="1:23" ht="11.25" customHeight="1" x14ac:dyDescent="0.25">
      <c r="A543" s="26" t="s">
        <v>1419</v>
      </c>
      <c r="B543" s="282">
        <f t="shared" si="221"/>
        <v>7</v>
      </c>
      <c r="C543" s="26"/>
      <c r="D543" s="23"/>
      <c r="E543" s="23"/>
      <c r="F543" s="379" t="s">
        <v>560</v>
      </c>
      <c r="G543" s="380"/>
      <c r="H543" s="25">
        <f t="shared" ref="H543:L543" si="232">SUM(H544:H547)</f>
        <v>-7019339.8600000003</v>
      </c>
      <c r="I543" s="25">
        <f t="shared" si="232"/>
        <v>-6622573.9800000004</v>
      </c>
      <c r="J543" s="129">
        <f t="shared" si="232"/>
        <v>-14897000</v>
      </c>
      <c r="K543" s="129">
        <f t="shared" si="232"/>
        <v>-6631157.0700000003</v>
      </c>
      <c r="L543" s="140">
        <f t="shared" si="232"/>
        <v>-10042900</v>
      </c>
      <c r="O543" s="88">
        <f t="shared" si="217"/>
        <v>-4854100</v>
      </c>
      <c r="P543" s="123">
        <f t="shared" si="218"/>
        <v>0.67415587030945823</v>
      </c>
      <c r="Q543" s="88">
        <f t="shared" si="219"/>
        <v>3420326.0199999996</v>
      </c>
      <c r="R543" s="123">
        <f t="shared" si="220"/>
        <v>1.5164647507644753</v>
      </c>
      <c r="S543" s="88">
        <f t="shared" si="222"/>
        <v>3411742.9299999997</v>
      </c>
      <c r="T543" s="124">
        <f t="shared" si="224"/>
        <v>1.5145019027576736</v>
      </c>
      <c r="U543" s="88">
        <f t="shared" si="225"/>
        <v>8583.089999999851</v>
      </c>
      <c r="V543" s="124">
        <f t="shared" si="226"/>
        <v>1.0012960353521034</v>
      </c>
      <c r="W543" s="157">
        <f t="shared" si="228"/>
        <v>7</v>
      </c>
    </row>
    <row r="544" spans="1:23" ht="11.25" customHeight="1" x14ac:dyDescent="0.25">
      <c r="A544" s="42" t="s">
        <v>1420</v>
      </c>
      <c r="B544" s="282">
        <f t="shared" si="221"/>
        <v>11</v>
      </c>
      <c r="C544" s="20" t="s">
        <v>1654</v>
      </c>
      <c r="D544" s="28" t="s">
        <v>919</v>
      </c>
      <c r="E544" s="20" t="s">
        <v>1655</v>
      </c>
      <c r="F544" s="373" t="s">
        <v>561</v>
      </c>
      <c r="G544" s="374"/>
      <c r="H544" s="11">
        <v>-6415858.4400000004</v>
      </c>
      <c r="I544" s="11">
        <v>-5916568.6500000004</v>
      </c>
      <c r="J544" s="336">
        <v>-14027000</v>
      </c>
      <c r="K544" s="130">
        <v>-6090057.5700000003</v>
      </c>
      <c r="L544" s="142">
        <f>-13456400+4525000</f>
        <v>-8931400</v>
      </c>
      <c r="M544" s="105" t="s">
        <v>1706</v>
      </c>
      <c r="N544" s="105"/>
      <c r="O544" s="88">
        <f t="shared" si="217"/>
        <v>-5095600</v>
      </c>
      <c r="P544" s="123">
        <f t="shared" si="218"/>
        <v>0.63672916518143585</v>
      </c>
      <c r="Q544" s="88">
        <f t="shared" si="219"/>
        <v>3014831.3499999996</v>
      </c>
      <c r="R544" s="123">
        <f t="shared" si="220"/>
        <v>1.5095574019917777</v>
      </c>
      <c r="S544" s="88">
        <f t="shared" si="222"/>
        <v>2841342.4299999997</v>
      </c>
      <c r="T544" s="124">
        <f t="shared" si="224"/>
        <v>1.4665542808653613</v>
      </c>
      <c r="U544" s="88">
        <f t="shared" si="225"/>
        <v>173488.91999999993</v>
      </c>
      <c r="V544" s="124">
        <f t="shared" si="226"/>
        <v>1.0293225567491724</v>
      </c>
      <c r="W544" s="157">
        <f t="shared" si="228"/>
        <v>11</v>
      </c>
    </row>
    <row r="545" spans="1:23" ht="11.25" customHeight="1" x14ac:dyDescent="0.25">
      <c r="A545" s="42" t="s">
        <v>1421</v>
      </c>
      <c r="B545" s="282">
        <f t="shared" si="221"/>
        <v>11</v>
      </c>
      <c r="C545" s="20" t="s">
        <v>1654</v>
      </c>
      <c r="D545" s="28" t="s">
        <v>919</v>
      </c>
      <c r="E545" s="20" t="s">
        <v>1655</v>
      </c>
      <c r="F545" s="373" t="s">
        <v>562</v>
      </c>
      <c r="G545" s="374"/>
      <c r="H545" s="11">
        <v>-539477.51</v>
      </c>
      <c r="I545" s="11">
        <v>-541893.1</v>
      </c>
      <c r="J545" s="336">
        <v>-870000</v>
      </c>
      <c r="K545" s="130">
        <v>-474129.5</v>
      </c>
      <c r="L545" s="142">
        <v>-1111500</v>
      </c>
      <c r="M545" s="105" t="s">
        <v>1708</v>
      </c>
      <c r="N545" s="105"/>
      <c r="O545" s="88">
        <f t="shared" si="217"/>
        <v>241500</v>
      </c>
      <c r="P545" s="123">
        <f t="shared" si="218"/>
        <v>1.2775862068965518</v>
      </c>
      <c r="Q545" s="88">
        <f t="shared" si="219"/>
        <v>569606.9</v>
      </c>
      <c r="R545" s="123">
        <f t="shared" si="220"/>
        <v>2.0511425592981349</v>
      </c>
      <c r="S545" s="88">
        <f t="shared" si="222"/>
        <v>637370.5</v>
      </c>
      <c r="T545" s="124">
        <f t="shared" si="224"/>
        <v>2.3442962313038946</v>
      </c>
      <c r="U545" s="88">
        <f t="shared" si="225"/>
        <v>-67763.599999999977</v>
      </c>
      <c r="V545" s="124">
        <f t="shared" si="226"/>
        <v>0.87495024387651366</v>
      </c>
      <c r="W545" s="157">
        <f t="shared" si="228"/>
        <v>11</v>
      </c>
    </row>
    <row r="546" spans="1:23" ht="11.25" customHeight="1" x14ac:dyDescent="0.25">
      <c r="A546" s="42" t="s">
        <v>1422</v>
      </c>
      <c r="B546" s="282">
        <f t="shared" si="221"/>
        <v>11</v>
      </c>
      <c r="C546" s="14"/>
      <c r="D546" s="13"/>
      <c r="E546" s="13"/>
      <c r="F546" s="373" t="s">
        <v>563</v>
      </c>
      <c r="G546" s="374"/>
      <c r="H546" s="11">
        <v>-64003.91</v>
      </c>
      <c r="I546" s="11">
        <v>-32504</v>
      </c>
      <c r="J546" s="336">
        <v>0</v>
      </c>
      <c r="K546" s="130">
        <v>-60220</v>
      </c>
      <c r="L546" s="142">
        <v>0</v>
      </c>
      <c r="O546" s="88">
        <f t="shared" si="217"/>
        <v>0</v>
      </c>
      <c r="P546" s="123" t="str">
        <f t="shared" si="218"/>
        <v/>
      </c>
      <c r="Q546" s="88">
        <f t="shared" si="219"/>
        <v>-32504</v>
      </c>
      <c r="R546" s="123">
        <f t="shared" si="220"/>
        <v>0</v>
      </c>
      <c r="S546" s="88">
        <f t="shared" si="222"/>
        <v>-60220</v>
      </c>
      <c r="T546" s="124">
        <f t="shared" si="224"/>
        <v>0</v>
      </c>
      <c r="U546" s="88">
        <f t="shared" si="225"/>
        <v>27716</v>
      </c>
      <c r="V546" s="124">
        <f t="shared" si="226"/>
        <v>1.8526950529165642</v>
      </c>
      <c r="W546" s="157">
        <f t="shared" si="228"/>
        <v>11</v>
      </c>
    </row>
    <row r="547" spans="1:23" ht="11.25" customHeight="1" x14ac:dyDescent="0.25">
      <c r="A547" s="42" t="s">
        <v>1423</v>
      </c>
      <c r="B547" s="282">
        <f t="shared" si="221"/>
        <v>11</v>
      </c>
      <c r="C547" s="14"/>
      <c r="D547" s="13"/>
      <c r="E547" s="13"/>
      <c r="F547" s="373" t="s">
        <v>564</v>
      </c>
      <c r="G547" s="374"/>
      <c r="H547" s="11">
        <v>0</v>
      </c>
      <c r="I547" s="11">
        <v>-131608.23000000001</v>
      </c>
      <c r="J547" s="336">
        <v>0</v>
      </c>
      <c r="K547" s="130">
        <v>-6750</v>
      </c>
      <c r="L547" s="142">
        <v>0</v>
      </c>
      <c r="O547" s="88">
        <f t="shared" si="217"/>
        <v>0</v>
      </c>
      <c r="P547" s="123" t="str">
        <f t="shared" si="218"/>
        <v/>
      </c>
      <c r="Q547" s="88">
        <f t="shared" si="219"/>
        <v>-131608.23000000001</v>
      </c>
      <c r="R547" s="123">
        <f t="shared" si="220"/>
        <v>0</v>
      </c>
      <c r="S547" s="88">
        <f t="shared" si="222"/>
        <v>-6750</v>
      </c>
      <c r="T547" s="124">
        <f t="shared" si="224"/>
        <v>0</v>
      </c>
      <c r="U547" s="88">
        <f t="shared" si="225"/>
        <v>-124858.23000000001</v>
      </c>
      <c r="V547" s="124">
        <f t="shared" si="226"/>
        <v>5.1288585827801193E-2</v>
      </c>
      <c r="W547" s="157">
        <f t="shared" si="228"/>
        <v>11</v>
      </c>
    </row>
    <row r="548" spans="1:23" ht="11.25" customHeight="1" x14ac:dyDescent="0.25">
      <c r="A548" s="26" t="s">
        <v>1424</v>
      </c>
      <c r="B548" s="282">
        <f t="shared" si="221"/>
        <v>7</v>
      </c>
      <c r="C548" s="26"/>
      <c r="D548" s="23"/>
      <c r="E548" s="23"/>
      <c r="F548" s="379" t="s">
        <v>565</v>
      </c>
      <c r="G548" s="380"/>
      <c r="H548" s="25">
        <f t="shared" ref="H548:L548" si="233">SUM(H549:H552)</f>
        <v>-7132869.8899999997</v>
      </c>
      <c r="I548" s="25">
        <f t="shared" si="233"/>
        <v>-12386086.560000001</v>
      </c>
      <c r="J548" s="129">
        <f t="shared" si="233"/>
        <v>-9149600</v>
      </c>
      <c r="K548" s="129">
        <f t="shared" si="233"/>
        <v>-6002248.96</v>
      </c>
      <c r="L548" s="140">
        <f t="shared" si="233"/>
        <v>-13850000</v>
      </c>
      <c r="O548" s="88">
        <f t="shared" si="217"/>
        <v>4700400</v>
      </c>
      <c r="P548" s="123">
        <f t="shared" si="218"/>
        <v>1.5137273760601557</v>
      </c>
      <c r="Q548" s="88">
        <f t="shared" si="219"/>
        <v>1463913.4399999995</v>
      </c>
      <c r="R548" s="123">
        <f t="shared" si="220"/>
        <v>1.1181901509333549</v>
      </c>
      <c r="S548" s="88">
        <f t="shared" si="222"/>
        <v>7847751.04</v>
      </c>
      <c r="T548" s="124">
        <f t="shared" si="224"/>
        <v>2.3074684326322914</v>
      </c>
      <c r="U548" s="88">
        <f t="shared" si="225"/>
        <v>-6383837.6000000006</v>
      </c>
      <c r="V548" s="124">
        <f t="shared" si="226"/>
        <v>0.48459607729400528</v>
      </c>
      <c r="W548" s="157">
        <f t="shared" si="228"/>
        <v>7</v>
      </c>
    </row>
    <row r="549" spans="1:23" ht="11.25" customHeight="1" x14ac:dyDescent="0.25">
      <c r="A549" s="42" t="s">
        <v>1425</v>
      </c>
      <c r="B549" s="282">
        <f t="shared" si="221"/>
        <v>11</v>
      </c>
      <c r="C549" s="28" t="s">
        <v>916</v>
      </c>
      <c r="D549" s="28" t="s">
        <v>923</v>
      </c>
      <c r="E549" s="28" t="s">
        <v>1037</v>
      </c>
      <c r="F549" s="373" t="s">
        <v>566</v>
      </c>
      <c r="G549" s="374"/>
      <c r="H549" s="11">
        <v>-6700</v>
      </c>
      <c r="I549" s="11">
        <v>-909061.74</v>
      </c>
      <c r="J549" s="336">
        <v>-150000</v>
      </c>
      <c r="K549" s="130">
        <v>-671965.24</v>
      </c>
      <c r="L549" s="142">
        <v>-350000</v>
      </c>
      <c r="O549" s="88">
        <f t="shared" si="217"/>
        <v>200000</v>
      </c>
      <c r="P549" s="123">
        <f t="shared" si="218"/>
        <v>2.3333333333333335</v>
      </c>
      <c r="Q549" s="88">
        <f t="shared" si="219"/>
        <v>-559061.74</v>
      </c>
      <c r="R549" s="123">
        <f t="shared" si="220"/>
        <v>0.38501235350637458</v>
      </c>
      <c r="S549" s="88">
        <f t="shared" si="222"/>
        <v>-321965.24</v>
      </c>
      <c r="T549" s="124">
        <f t="shared" si="224"/>
        <v>0.52086027545115277</v>
      </c>
      <c r="U549" s="88">
        <f t="shared" si="225"/>
        <v>-237096.5</v>
      </c>
      <c r="V549" s="124">
        <f t="shared" si="226"/>
        <v>0.73918548150535957</v>
      </c>
      <c r="W549" s="157">
        <f t="shared" si="228"/>
        <v>11</v>
      </c>
    </row>
    <row r="550" spans="1:23" ht="11.25" customHeight="1" x14ac:dyDescent="0.25">
      <c r="A550" s="42" t="s">
        <v>1426</v>
      </c>
      <c r="B550" s="282">
        <f t="shared" si="221"/>
        <v>11</v>
      </c>
      <c r="C550" s="28" t="s">
        <v>916</v>
      </c>
      <c r="D550" s="28" t="s">
        <v>923</v>
      </c>
      <c r="E550" s="28" t="s">
        <v>1037</v>
      </c>
      <c r="F550" s="373" t="s">
        <v>567</v>
      </c>
      <c r="G550" s="374"/>
      <c r="H550" s="11">
        <v>-7109320.8899999997</v>
      </c>
      <c r="I550" s="11">
        <v>-11407038.82</v>
      </c>
      <c r="J550" s="336">
        <v>-8999600</v>
      </c>
      <c r="K550" s="130">
        <v>-5181532.72</v>
      </c>
      <c r="L550" s="142">
        <f>-15000000+1500000</f>
        <v>-13500000</v>
      </c>
      <c r="O550" s="88">
        <f t="shared" si="217"/>
        <v>4500400</v>
      </c>
      <c r="P550" s="123">
        <f t="shared" si="218"/>
        <v>1.5000666696297613</v>
      </c>
      <c r="Q550" s="88">
        <f t="shared" si="219"/>
        <v>2092961.1799999997</v>
      </c>
      <c r="R550" s="123">
        <f t="shared" si="220"/>
        <v>1.1834797981339735</v>
      </c>
      <c r="S550" s="88">
        <f t="shared" si="222"/>
        <v>8318467.2800000003</v>
      </c>
      <c r="T550" s="124">
        <f t="shared" si="224"/>
        <v>2.605406687463705</v>
      </c>
      <c r="U550" s="88">
        <f t="shared" si="225"/>
        <v>-6225506.1000000006</v>
      </c>
      <c r="V550" s="124">
        <f t="shared" si="226"/>
        <v>0.45423994796223544</v>
      </c>
      <c r="W550" s="157">
        <f t="shared" si="228"/>
        <v>11</v>
      </c>
    </row>
    <row r="551" spans="1:23" ht="11.25" customHeight="1" x14ac:dyDescent="0.25">
      <c r="A551" s="42" t="s">
        <v>1427</v>
      </c>
      <c r="B551" s="282">
        <f t="shared" si="221"/>
        <v>11</v>
      </c>
      <c r="C551" s="14"/>
      <c r="D551" s="13"/>
      <c r="E551" s="13"/>
      <c r="F551" s="373" t="s">
        <v>568</v>
      </c>
      <c r="G551" s="374"/>
      <c r="H551" s="11">
        <v>-4172</v>
      </c>
      <c r="I551" s="11">
        <v>-69986</v>
      </c>
      <c r="J551" s="336">
        <v>0</v>
      </c>
      <c r="K551" s="130">
        <v>-138896</v>
      </c>
      <c r="L551" s="141"/>
      <c r="O551" s="88">
        <f t="shared" si="217"/>
        <v>0</v>
      </c>
      <c r="P551" s="123" t="str">
        <f t="shared" si="218"/>
        <v/>
      </c>
      <c r="Q551" s="88">
        <f t="shared" si="219"/>
        <v>-69986</v>
      </c>
      <c r="R551" s="123">
        <f t="shared" si="220"/>
        <v>0</v>
      </c>
      <c r="S551" s="88">
        <f t="shared" si="222"/>
        <v>-138896</v>
      </c>
      <c r="T551" s="124">
        <f t="shared" si="224"/>
        <v>0</v>
      </c>
      <c r="U551" s="88">
        <f t="shared" si="225"/>
        <v>68910</v>
      </c>
      <c r="V551" s="124">
        <f t="shared" si="226"/>
        <v>1.9846254965278769</v>
      </c>
      <c r="W551" s="157">
        <f t="shared" si="228"/>
        <v>11</v>
      </c>
    </row>
    <row r="552" spans="1:23" ht="11.25" customHeight="1" x14ac:dyDescent="0.25">
      <c r="A552" s="42" t="s">
        <v>1428</v>
      </c>
      <c r="B552" s="282">
        <f t="shared" si="221"/>
        <v>11</v>
      </c>
      <c r="C552" s="14"/>
      <c r="D552" s="13"/>
      <c r="E552" s="13"/>
      <c r="F552" s="373" t="s">
        <v>569</v>
      </c>
      <c r="G552" s="374"/>
      <c r="H552" s="11">
        <v>-12677</v>
      </c>
      <c r="I552" s="11">
        <v>0</v>
      </c>
      <c r="J552" s="336">
        <v>0</v>
      </c>
      <c r="K552" s="130">
        <v>-9855</v>
      </c>
      <c r="L552" s="141"/>
      <c r="O552" s="88">
        <f t="shared" si="217"/>
        <v>0</v>
      </c>
      <c r="P552" s="123" t="str">
        <f t="shared" si="218"/>
        <v/>
      </c>
      <c r="Q552" s="88">
        <f t="shared" si="219"/>
        <v>0</v>
      </c>
      <c r="R552" s="123" t="str">
        <f t="shared" si="220"/>
        <v/>
      </c>
      <c r="S552" s="88">
        <f t="shared" si="222"/>
        <v>-9855</v>
      </c>
      <c r="T552" s="124">
        <f t="shared" si="224"/>
        <v>0</v>
      </c>
      <c r="U552" s="88">
        <f t="shared" si="225"/>
        <v>9855</v>
      </c>
      <c r="V552" s="124" t="str">
        <f t="shared" si="226"/>
        <v/>
      </c>
      <c r="W552" s="157">
        <f t="shared" si="228"/>
        <v>11</v>
      </c>
    </row>
    <row r="553" spans="1:23" ht="11.25" customHeight="1" x14ac:dyDescent="0.25">
      <c r="A553" s="26" t="s">
        <v>1434</v>
      </c>
      <c r="B553" s="282">
        <f t="shared" si="221"/>
        <v>7</v>
      </c>
      <c r="C553" s="26"/>
      <c r="D553" s="23"/>
      <c r="E553" s="23"/>
      <c r="F553" s="379" t="s">
        <v>570</v>
      </c>
      <c r="G553" s="380"/>
      <c r="H553" s="25">
        <f t="shared" ref="H553:L553" si="234">SUM(H554:H556)</f>
        <v>-1573308.56</v>
      </c>
      <c r="I553" s="25">
        <f t="shared" si="234"/>
        <v>-1860956.5999999999</v>
      </c>
      <c r="J553" s="129">
        <f t="shared" si="234"/>
        <v>-1500000</v>
      </c>
      <c r="K553" s="129">
        <f t="shared" si="234"/>
        <v>-772532.3899999999</v>
      </c>
      <c r="L553" s="140">
        <f t="shared" si="234"/>
        <v>-1000000</v>
      </c>
      <c r="O553" s="88">
        <f t="shared" si="217"/>
        <v>-500000</v>
      </c>
      <c r="P553" s="123">
        <f t="shared" si="218"/>
        <v>0.66666666666666663</v>
      </c>
      <c r="Q553" s="88">
        <f t="shared" si="219"/>
        <v>-860956.59999999986</v>
      </c>
      <c r="R553" s="123">
        <f t="shared" si="220"/>
        <v>0.53735804478191485</v>
      </c>
      <c r="S553" s="88">
        <f t="shared" si="222"/>
        <v>227467.6100000001</v>
      </c>
      <c r="T553" s="124">
        <f t="shared" si="224"/>
        <v>1.2944441073855817</v>
      </c>
      <c r="U553" s="88">
        <f t="shared" si="225"/>
        <v>-1088424.21</v>
      </c>
      <c r="V553" s="124">
        <f t="shared" si="226"/>
        <v>0.41512649462109968</v>
      </c>
      <c r="W553" s="157">
        <f t="shared" si="228"/>
        <v>7</v>
      </c>
    </row>
    <row r="554" spans="1:23" ht="11.25" customHeight="1" x14ac:dyDescent="0.25">
      <c r="A554" s="42" t="s">
        <v>1429</v>
      </c>
      <c r="B554" s="282">
        <f t="shared" si="221"/>
        <v>11</v>
      </c>
      <c r="C554" s="28" t="s">
        <v>916</v>
      </c>
      <c r="D554" s="28" t="s">
        <v>923</v>
      </c>
      <c r="E554" s="28" t="s">
        <v>1037</v>
      </c>
      <c r="F554" s="373" t="s">
        <v>571</v>
      </c>
      <c r="G554" s="374"/>
      <c r="H554" s="11">
        <v>-1222139.83</v>
      </c>
      <c r="I554" s="11">
        <v>-1811356.23</v>
      </c>
      <c r="J554" s="336">
        <v>-1500000</v>
      </c>
      <c r="K554" s="130">
        <v>-739408.94</v>
      </c>
      <c r="L554" s="142">
        <v>-1000000</v>
      </c>
      <c r="O554" s="88">
        <f t="shared" si="217"/>
        <v>-500000</v>
      </c>
      <c r="P554" s="123">
        <f t="shared" si="218"/>
        <v>0.66666666666666663</v>
      </c>
      <c r="Q554" s="88">
        <f t="shared" si="219"/>
        <v>-811356.23</v>
      </c>
      <c r="R554" s="123">
        <f t="shared" si="220"/>
        <v>0.55207252082049041</v>
      </c>
      <c r="S554" s="88">
        <f t="shared" si="222"/>
        <v>260591.06000000006</v>
      </c>
      <c r="T554" s="124">
        <f t="shared" si="224"/>
        <v>1.3524315786606531</v>
      </c>
      <c r="U554" s="88">
        <f t="shared" si="225"/>
        <v>-1071947.29</v>
      </c>
      <c r="V554" s="124">
        <f t="shared" si="226"/>
        <v>0.40820735742300673</v>
      </c>
      <c r="W554" s="157">
        <f t="shared" si="228"/>
        <v>11</v>
      </c>
    </row>
    <row r="555" spans="1:23" ht="11.25" customHeight="1" x14ac:dyDescent="0.25">
      <c r="A555" s="42" t="s">
        <v>1430</v>
      </c>
      <c r="B555" s="282">
        <f t="shared" si="221"/>
        <v>11</v>
      </c>
      <c r="C555" s="14"/>
      <c r="D555" s="13"/>
      <c r="E555" s="13"/>
      <c r="F555" s="373" t="s">
        <v>572</v>
      </c>
      <c r="G555" s="374"/>
      <c r="H555" s="11">
        <v>-320776.73</v>
      </c>
      <c r="I555" s="11">
        <v>-14241.7</v>
      </c>
      <c r="J555" s="336">
        <v>0</v>
      </c>
      <c r="K555" s="130">
        <v>-33123.449999999997</v>
      </c>
      <c r="L555" s="141"/>
      <c r="O555" s="88">
        <f t="shared" si="217"/>
        <v>0</v>
      </c>
      <c r="P555" s="123" t="str">
        <f t="shared" si="218"/>
        <v/>
      </c>
      <c r="Q555" s="88">
        <f t="shared" si="219"/>
        <v>-14241.7</v>
      </c>
      <c r="R555" s="123">
        <f t="shared" si="220"/>
        <v>0</v>
      </c>
      <c r="S555" s="88">
        <f t="shared" si="222"/>
        <v>-33123.449999999997</v>
      </c>
      <c r="T555" s="124">
        <f t="shared" si="224"/>
        <v>0</v>
      </c>
      <c r="U555" s="88">
        <f t="shared" si="225"/>
        <v>18881.749999999996</v>
      </c>
      <c r="V555" s="124">
        <f t="shared" si="226"/>
        <v>2.3258073123292862</v>
      </c>
      <c r="W555" s="157">
        <f t="shared" si="228"/>
        <v>11</v>
      </c>
    </row>
    <row r="556" spans="1:23" ht="11.25" customHeight="1" x14ac:dyDescent="0.25">
      <c r="A556" s="42" t="s">
        <v>1431</v>
      </c>
      <c r="B556" s="282">
        <f t="shared" si="221"/>
        <v>11</v>
      </c>
      <c r="C556" s="14"/>
      <c r="D556" s="13"/>
      <c r="E556" s="13"/>
      <c r="F556" s="373" t="s">
        <v>573</v>
      </c>
      <c r="G556" s="374"/>
      <c r="H556" s="11">
        <v>-30392</v>
      </c>
      <c r="I556" s="11">
        <v>-35358.67</v>
      </c>
      <c r="J556" s="336">
        <v>0</v>
      </c>
      <c r="K556" s="130">
        <v>0</v>
      </c>
      <c r="L556" s="141"/>
      <c r="O556" s="88">
        <f t="shared" si="217"/>
        <v>0</v>
      </c>
      <c r="P556" s="123" t="str">
        <f t="shared" si="218"/>
        <v/>
      </c>
      <c r="Q556" s="88">
        <f t="shared" si="219"/>
        <v>-35358.67</v>
      </c>
      <c r="R556" s="123">
        <f t="shared" si="220"/>
        <v>0</v>
      </c>
      <c r="S556" s="88">
        <f t="shared" si="222"/>
        <v>0</v>
      </c>
      <c r="T556" s="124" t="str">
        <f t="shared" si="224"/>
        <v/>
      </c>
      <c r="U556" s="88">
        <f t="shared" si="225"/>
        <v>-35358.67</v>
      </c>
      <c r="V556" s="124">
        <f t="shared" si="226"/>
        <v>0</v>
      </c>
      <c r="W556" s="157">
        <f t="shared" si="228"/>
        <v>11</v>
      </c>
    </row>
    <row r="557" spans="1:23" ht="11.25" customHeight="1" x14ac:dyDescent="0.25">
      <c r="A557" s="26" t="s">
        <v>1435</v>
      </c>
      <c r="B557" s="282">
        <f t="shared" si="221"/>
        <v>7</v>
      </c>
      <c r="C557" s="26"/>
      <c r="D557" s="23"/>
      <c r="E557" s="23"/>
      <c r="F557" s="379" t="s">
        <v>574</v>
      </c>
      <c r="G557" s="380"/>
      <c r="H557" s="25">
        <f t="shared" ref="H557:L557" si="235">SUM(H558:H560)</f>
        <v>-221181.12</v>
      </c>
      <c r="I557" s="25">
        <f t="shared" si="235"/>
        <v>-265386.95</v>
      </c>
      <c r="J557" s="129">
        <f t="shared" si="235"/>
        <v>-1211000</v>
      </c>
      <c r="K557" s="129">
        <f t="shared" si="235"/>
        <v>-103409.59</v>
      </c>
      <c r="L557" s="140">
        <f t="shared" si="235"/>
        <v>-3647670</v>
      </c>
      <c r="O557" s="88">
        <f t="shared" si="217"/>
        <v>2436670</v>
      </c>
      <c r="P557" s="123">
        <f t="shared" si="218"/>
        <v>3.0121139554087533</v>
      </c>
      <c r="Q557" s="88">
        <f t="shared" si="219"/>
        <v>3382283.05</v>
      </c>
      <c r="R557" s="123">
        <f t="shared" si="220"/>
        <v>13.744722564542077</v>
      </c>
      <c r="S557" s="88">
        <f t="shared" si="222"/>
        <v>3544260.41</v>
      </c>
      <c r="T557" s="124">
        <f t="shared" si="224"/>
        <v>35.274001183062424</v>
      </c>
      <c r="U557" s="88">
        <f t="shared" si="225"/>
        <v>-161977.36000000002</v>
      </c>
      <c r="V557" s="124">
        <f t="shared" si="226"/>
        <v>0.38965589679522672</v>
      </c>
      <c r="W557" s="157">
        <f t="shared" si="228"/>
        <v>7</v>
      </c>
    </row>
    <row r="558" spans="1:23" ht="11.25" customHeight="1" x14ac:dyDescent="0.25">
      <c r="A558" s="42" t="s">
        <v>1436</v>
      </c>
      <c r="B558" s="282">
        <f t="shared" si="221"/>
        <v>11</v>
      </c>
      <c r="C558" s="20" t="s">
        <v>1654</v>
      </c>
      <c r="D558" s="28" t="s">
        <v>919</v>
      </c>
      <c r="E558" s="20" t="s">
        <v>1656</v>
      </c>
      <c r="F558" s="373" t="s">
        <v>575</v>
      </c>
      <c r="G558" s="374"/>
      <c r="H558" s="11">
        <v>-215182.12</v>
      </c>
      <c r="I558" s="11">
        <v>-248416.6</v>
      </c>
      <c r="J558" s="336">
        <v>-1211000</v>
      </c>
      <c r="K558" s="130">
        <v>-103409.59</v>
      </c>
      <c r="L558" s="142">
        <f>-4222670+575000</f>
        <v>-3647670</v>
      </c>
      <c r="M558" s="105" t="s">
        <v>1709</v>
      </c>
      <c r="N558" s="105"/>
      <c r="O558" s="88">
        <f t="shared" si="217"/>
        <v>2436670</v>
      </c>
      <c r="P558" s="123">
        <f t="shared" si="218"/>
        <v>3.0121139554087533</v>
      </c>
      <c r="Q558" s="88">
        <f t="shared" si="219"/>
        <v>3399253.4</v>
      </c>
      <c r="R558" s="123">
        <f t="shared" si="220"/>
        <v>14.683680559189684</v>
      </c>
      <c r="S558" s="88">
        <f t="shared" si="222"/>
        <v>3544260.41</v>
      </c>
      <c r="T558" s="124">
        <f t="shared" si="224"/>
        <v>35.274001183062424</v>
      </c>
      <c r="U558" s="88">
        <f t="shared" si="225"/>
        <v>-145007.01</v>
      </c>
      <c r="V558" s="124">
        <f t="shared" si="226"/>
        <v>0.41627487857091672</v>
      </c>
      <c r="W558" s="157">
        <f t="shared" si="228"/>
        <v>11</v>
      </c>
    </row>
    <row r="559" spans="1:23" ht="11.25" customHeight="1" x14ac:dyDescent="0.25">
      <c r="A559" s="42" t="s">
        <v>1437</v>
      </c>
      <c r="B559" s="282">
        <f t="shared" si="221"/>
        <v>11</v>
      </c>
      <c r="C559" s="14"/>
      <c r="D559" s="13"/>
      <c r="E559" s="13"/>
      <c r="F559" s="373" t="s">
        <v>576</v>
      </c>
      <c r="G559" s="374"/>
      <c r="H559" s="11">
        <v>-5999</v>
      </c>
      <c r="I559" s="11">
        <v>-5734</v>
      </c>
      <c r="J559" s="336">
        <v>0</v>
      </c>
      <c r="K559" s="130">
        <v>0</v>
      </c>
      <c r="L559" s="141"/>
      <c r="O559" s="88">
        <f t="shared" si="217"/>
        <v>0</v>
      </c>
      <c r="P559" s="123" t="str">
        <f t="shared" si="218"/>
        <v/>
      </c>
      <c r="Q559" s="88">
        <f t="shared" si="219"/>
        <v>-5734</v>
      </c>
      <c r="R559" s="123">
        <f t="shared" si="220"/>
        <v>0</v>
      </c>
      <c r="S559" s="88">
        <f t="shared" si="222"/>
        <v>0</v>
      </c>
      <c r="T559" s="124" t="str">
        <f t="shared" si="224"/>
        <v/>
      </c>
      <c r="U559" s="88">
        <f t="shared" si="225"/>
        <v>-5734</v>
      </c>
      <c r="V559" s="124">
        <f t="shared" si="226"/>
        <v>0</v>
      </c>
      <c r="W559" s="157">
        <f t="shared" si="228"/>
        <v>11</v>
      </c>
    </row>
    <row r="560" spans="1:23" ht="11.25" customHeight="1" x14ac:dyDescent="0.25">
      <c r="A560" s="42" t="s">
        <v>1438</v>
      </c>
      <c r="B560" s="282">
        <f t="shared" si="221"/>
        <v>11</v>
      </c>
      <c r="C560" s="14"/>
      <c r="D560" s="13"/>
      <c r="E560" s="13"/>
      <c r="F560" s="373" t="s">
        <v>577</v>
      </c>
      <c r="G560" s="374"/>
      <c r="H560" s="11">
        <v>0</v>
      </c>
      <c r="I560" s="11">
        <v>-11236.35</v>
      </c>
      <c r="J560" s="336">
        <v>0</v>
      </c>
      <c r="K560" s="130">
        <v>0</v>
      </c>
      <c r="L560" s="141"/>
      <c r="O560" s="88">
        <f t="shared" si="217"/>
        <v>0</v>
      </c>
      <c r="P560" s="123" t="str">
        <f t="shared" si="218"/>
        <v/>
      </c>
      <c r="Q560" s="88">
        <f t="shared" si="219"/>
        <v>-11236.35</v>
      </c>
      <c r="R560" s="123">
        <f t="shared" si="220"/>
        <v>0</v>
      </c>
      <c r="S560" s="88">
        <f t="shared" si="222"/>
        <v>0</v>
      </c>
      <c r="T560" s="124" t="str">
        <f t="shared" si="224"/>
        <v/>
      </c>
      <c r="U560" s="88">
        <f t="shared" si="225"/>
        <v>-11236.35</v>
      </c>
      <c r="V560" s="124">
        <f t="shared" si="226"/>
        <v>0</v>
      </c>
      <c r="W560" s="157">
        <f t="shared" si="228"/>
        <v>11</v>
      </c>
    </row>
    <row r="561" spans="1:23" ht="11.25" customHeight="1" x14ac:dyDescent="0.25">
      <c r="A561" s="26" t="s">
        <v>1439</v>
      </c>
      <c r="B561" s="282">
        <f t="shared" si="221"/>
        <v>7</v>
      </c>
      <c r="C561" s="26"/>
      <c r="D561" s="23"/>
      <c r="E561" s="23"/>
      <c r="F561" s="379" t="s">
        <v>578</v>
      </c>
      <c r="G561" s="380"/>
      <c r="H561" s="25">
        <f t="shared" ref="H561:L561" si="236">H562</f>
        <v>-38186.9</v>
      </c>
      <c r="I561" s="25">
        <f t="shared" si="236"/>
        <v>-8018.07</v>
      </c>
      <c r="J561" s="129">
        <f t="shared" si="236"/>
        <v>0</v>
      </c>
      <c r="K561" s="129">
        <f t="shared" si="236"/>
        <v>-10918.82</v>
      </c>
      <c r="L561" s="140">
        <f t="shared" si="236"/>
        <v>0</v>
      </c>
      <c r="O561" s="88">
        <f t="shared" si="217"/>
        <v>0</v>
      </c>
      <c r="P561" s="123" t="str">
        <f t="shared" si="218"/>
        <v/>
      </c>
      <c r="Q561" s="88">
        <f t="shared" si="219"/>
        <v>-8018.07</v>
      </c>
      <c r="R561" s="123">
        <f t="shared" si="220"/>
        <v>0</v>
      </c>
      <c r="S561" s="88">
        <f t="shared" si="222"/>
        <v>-10918.82</v>
      </c>
      <c r="T561" s="124">
        <f t="shared" si="224"/>
        <v>0</v>
      </c>
      <c r="U561" s="88">
        <f t="shared" si="225"/>
        <v>2900.75</v>
      </c>
      <c r="V561" s="124">
        <f t="shared" si="226"/>
        <v>1.3617765871338114</v>
      </c>
      <c r="W561" s="157">
        <f t="shared" si="228"/>
        <v>7</v>
      </c>
    </row>
    <row r="562" spans="1:23" ht="11.25" customHeight="1" x14ac:dyDescent="0.25">
      <c r="A562" s="42" t="s">
        <v>1440</v>
      </c>
      <c r="B562" s="282">
        <f t="shared" si="221"/>
        <v>11</v>
      </c>
      <c r="C562" s="14"/>
      <c r="D562" s="13"/>
      <c r="E562" s="13"/>
      <c r="F562" s="373" t="s">
        <v>163</v>
      </c>
      <c r="G562" s="374"/>
      <c r="H562" s="11">
        <v>-38186.9</v>
      </c>
      <c r="I562" s="11">
        <v>-8018.07</v>
      </c>
      <c r="J562" s="336">
        <v>0</v>
      </c>
      <c r="K562" s="130">
        <v>-10918.82</v>
      </c>
      <c r="L562" s="141"/>
      <c r="O562" s="88">
        <f t="shared" si="217"/>
        <v>0</v>
      </c>
      <c r="P562" s="123" t="str">
        <f t="shared" si="218"/>
        <v/>
      </c>
      <c r="Q562" s="88">
        <f t="shared" si="219"/>
        <v>-8018.07</v>
      </c>
      <c r="R562" s="123">
        <f t="shared" si="220"/>
        <v>0</v>
      </c>
      <c r="S562" s="88">
        <f t="shared" si="222"/>
        <v>-10918.82</v>
      </c>
      <c r="T562" s="124">
        <f t="shared" si="224"/>
        <v>0</v>
      </c>
      <c r="U562" s="88">
        <f t="shared" si="225"/>
        <v>2900.75</v>
      </c>
      <c r="V562" s="124">
        <f t="shared" si="226"/>
        <v>1.3617765871338114</v>
      </c>
      <c r="W562" s="157">
        <f t="shared" si="228"/>
        <v>11</v>
      </c>
    </row>
    <row r="563" spans="1:23" ht="11.25" customHeight="1" x14ac:dyDescent="0.25">
      <c r="A563" s="38"/>
      <c r="B563" s="282"/>
      <c r="C563" s="38"/>
      <c r="D563" s="22"/>
      <c r="E563" s="22"/>
      <c r="F563" s="365"/>
      <c r="G563" s="366"/>
      <c r="H563" s="37">
        <v>0</v>
      </c>
      <c r="I563" s="37">
        <v>0</v>
      </c>
      <c r="J563" s="128">
        <v>0</v>
      </c>
      <c r="K563" s="132">
        <v>0</v>
      </c>
      <c r="L563" s="147">
        <f t="shared" ref="L563:L575" si="237">(K563/8)*12</f>
        <v>0</v>
      </c>
      <c r="O563" s="175">
        <f t="shared" si="217"/>
        <v>0</v>
      </c>
      <c r="P563" s="176" t="str">
        <f t="shared" si="218"/>
        <v/>
      </c>
      <c r="Q563" s="175">
        <f t="shared" si="219"/>
        <v>0</v>
      </c>
      <c r="R563" s="176" t="str">
        <f t="shared" si="220"/>
        <v/>
      </c>
      <c r="S563" s="175">
        <f t="shared" si="222"/>
        <v>0</v>
      </c>
      <c r="T563" s="177" t="str">
        <f t="shared" si="224"/>
        <v/>
      </c>
      <c r="U563" s="175">
        <f t="shared" si="225"/>
        <v>0</v>
      </c>
      <c r="V563" s="177" t="str">
        <f t="shared" si="226"/>
        <v/>
      </c>
      <c r="W563" s="157">
        <f t="shared" si="228"/>
        <v>0</v>
      </c>
    </row>
    <row r="564" spans="1:23" ht="11.25" customHeight="1" x14ac:dyDescent="0.25">
      <c r="A564" s="38" t="s">
        <v>581</v>
      </c>
      <c r="B564" s="282">
        <f t="shared" si="221"/>
        <v>4</v>
      </c>
      <c r="C564" s="38"/>
      <c r="D564" s="22"/>
      <c r="E564" s="22"/>
      <c r="F564" s="385" t="s">
        <v>1942</v>
      </c>
      <c r="G564" s="386"/>
      <c r="H564" s="37">
        <f>+H565</f>
        <v>-26600</v>
      </c>
      <c r="I564" s="37">
        <f>+I565</f>
        <v>-65200</v>
      </c>
      <c r="J564" s="128">
        <f>+J565</f>
        <v>0</v>
      </c>
      <c r="K564" s="132">
        <v>0</v>
      </c>
      <c r="L564" s="147">
        <f t="shared" si="237"/>
        <v>0</v>
      </c>
      <c r="O564" s="175">
        <f t="shared" si="217"/>
        <v>0</v>
      </c>
      <c r="P564" s="176" t="str">
        <f t="shared" si="218"/>
        <v/>
      </c>
      <c r="Q564" s="175">
        <f t="shared" si="219"/>
        <v>-65200</v>
      </c>
      <c r="R564" s="176">
        <f t="shared" si="220"/>
        <v>0</v>
      </c>
      <c r="S564" s="175">
        <f t="shared" si="222"/>
        <v>0</v>
      </c>
      <c r="T564" s="177" t="str">
        <f t="shared" si="224"/>
        <v/>
      </c>
      <c r="U564" s="175">
        <f t="shared" si="225"/>
        <v>-65200</v>
      </c>
      <c r="V564" s="177">
        <f t="shared" si="226"/>
        <v>0</v>
      </c>
      <c r="W564" s="157">
        <f t="shared" si="228"/>
        <v>4</v>
      </c>
    </row>
    <row r="565" spans="1:23" ht="11.25" customHeight="1" x14ac:dyDescent="0.25">
      <c r="A565" s="26" t="s">
        <v>1441</v>
      </c>
      <c r="B565" s="282">
        <f t="shared" si="221"/>
        <v>7</v>
      </c>
      <c r="C565" s="26"/>
      <c r="D565" s="23"/>
      <c r="E565" s="23"/>
      <c r="F565" s="379" t="s">
        <v>583</v>
      </c>
      <c r="G565" s="380"/>
      <c r="H565" s="25">
        <f t="shared" ref="H565:L565" si="238">H566</f>
        <v>-26600</v>
      </c>
      <c r="I565" s="25">
        <f t="shared" si="238"/>
        <v>-65200</v>
      </c>
      <c r="J565" s="129">
        <f t="shared" si="238"/>
        <v>0</v>
      </c>
      <c r="K565" s="129">
        <f t="shared" si="238"/>
        <v>0</v>
      </c>
      <c r="L565" s="140">
        <f t="shared" si="238"/>
        <v>0</v>
      </c>
      <c r="O565" s="88">
        <f t="shared" si="217"/>
        <v>0</v>
      </c>
      <c r="P565" s="123" t="str">
        <f t="shared" si="218"/>
        <v/>
      </c>
      <c r="Q565" s="88">
        <f t="shared" si="219"/>
        <v>-65200</v>
      </c>
      <c r="R565" s="123">
        <f t="shared" si="220"/>
        <v>0</v>
      </c>
      <c r="S565" s="88">
        <f t="shared" si="222"/>
        <v>0</v>
      </c>
      <c r="T565" s="124" t="str">
        <f t="shared" si="224"/>
        <v/>
      </c>
      <c r="U565" s="88">
        <f t="shared" si="225"/>
        <v>-65200</v>
      </c>
      <c r="V565" s="124">
        <f t="shared" si="226"/>
        <v>0</v>
      </c>
      <c r="W565" s="157">
        <f t="shared" si="228"/>
        <v>7</v>
      </c>
    </row>
    <row r="566" spans="1:23" ht="11.25" customHeight="1" x14ac:dyDescent="0.25">
      <c r="A566" s="42" t="s">
        <v>1442</v>
      </c>
      <c r="B566" s="282">
        <f t="shared" si="221"/>
        <v>11</v>
      </c>
      <c r="C566" s="14"/>
      <c r="D566" s="13"/>
      <c r="E566" s="13"/>
      <c r="F566" s="373" t="s">
        <v>584</v>
      </c>
      <c r="G566" s="374"/>
      <c r="H566" s="11">
        <v>-26600</v>
      </c>
      <c r="I566" s="11">
        <v>-65200</v>
      </c>
      <c r="J566" s="336">
        <v>0</v>
      </c>
      <c r="K566" s="130">
        <v>0</v>
      </c>
      <c r="L566" s="141"/>
      <c r="O566" s="88">
        <f t="shared" si="217"/>
        <v>0</v>
      </c>
      <c r="P566" s="123" t="str">
        <f t="shared" si="218"/>
        <v/>
      </c>
      <c r="Q566" s="88">
        <f t="shared" si="219"/>
        <v>-65200</v>
      </c>
      <c r="R566" s="123">
        <f t="shared" si="220"/>
        <v>0</v>
      </c>
      <c r="S566" s="88">
        <f t="shared" si="222"/>
        <v>0</v>
      </c>
      <c r="T566" s="124" t="str">
        <f t="shared" si="224"/>
        <v/>
      </c>
      <c r="U566" s="88">
        <f t="shared" si="225"/>
        <v>-65200</v>
      </c>
      <c r="V566" s="124">
        <f t="shared" si="226"/>
        <v>0</v>
      </c>
      <c r="W566" s="157">
        <f t="shared" si="228"/>
        <v>11</v>
      </c>
    </row>
    <row r="567" spans="1:23" ht="11.25" customHeight="1" x14ac:dyDescent="0.25">
      <c r="A567" s="38" t="s">
        <v>585</v>
      </c>
      <c r="B567" s="282">
        <f t="shared" si="221"/>
        <v>4</v>
      </c>
      <c r="C567" s="38"/>
      <c r="D567" s="22"/>
      <c r="E567" s="22"/>
      <c r="F567" s="385" t="s">
        <v>582</v>
      </c>
      <c r="G567" s="386"/>
      <c r="H567" s="37">
        <f t="shared" ref="H567:L567" si="239">H568+H570</f>
        <v>410792.07999999996</v>
      </c>
      <c r="I567" s="37">
        <f t="shared" si="239"/>
        <v>90894.47</v>
      </c>
      <c r="J567" s="128">
        <f t="shared" si="239"/>
        <v>0</v>
      </c>
      <c r="K567" s="333">
        <f t="shared" si="239"/>
        <v>-344448.07</v>
      </c>
      <c r="L567" s="139">
        <f t="shared" si="239"/>
        <v>0</v>
      </c>
      <c r="O567" s="175">
        <f t="shared" si="217"/>
        <v>0</v>
      </c>
      <c r="P567" s="176" t="str">
        <f t="shared" si="218"/>
        <v/>
      </c>
      <c r="Q567" s="175">
        <f t="shared" si="219"/>
        <v>90894.47</v>
      </c>
      <c r="R567" s="176">
        <f t="shared" si="220"/>
        <v>0</v>
      </c>
      <c r="S567" s="175">
        <f t="shared" si="222"/>
        <v>-344448.07</v>
      </c>
      <c r="T567" s="177">
        <f t="shared" si="224"/>
        <v>0</v>
      </c>
      <c r="U567" s="175">
        <f t="shared" si="225"/>
        <v>435342.54000000004</v>
      </c>
      <c r="V567" s="177">
        <f t="shared" si="226"/>
        <v>-3.7895382414353702</v>
      </c>
      <c r="W567" s="157">
        <f t="shared" si="228"/>
        <v>4</v>
      </c>
    </row>
    <row r="568" spans="1:23" ht="11.25" customHeight="1" x14ac:dyDescent="0.25">
      <c r="A568" s="26" t="s">
        <v>1443</v>
      </c>
      <c r="B568" s="282">
        <f t="shared" si="221"/>
        <v>7</v>
      </c>
      <c r="C568" s="26"/>
      <c r="D568" s="23"/>
      <c r="E568" s="23"/>
      <c r="F568" s="379" t="s">
        <v>586</v>
      </c>
      <c r="G568" s="380"/>
      <c r="H568" s="25">
        <f t="shared" ref="H568:L568" si="240">H569</f>
        <v>83072.53</v>
      </c>
      <c r="I568" s="25">
        <f t="shared" si="240"/>
        <v>-180514.71</v>
      </c>
      <c r="J568" s="129">
        <f t="shared" si="240"/>
        <v>0</v>
      </c>
      <c r="K568" s="129">
        <f t="shared" si="240"/>
        <v>-344448.07</v>
      </c>
      <c r="L568" s="140">
        <f t="shared" si="240"/>
        <v>0</v>
      </c>
      <c r="O568" s="88">
        <f t="shared" si="217"/>
        <v>0</v>
      </c>
      <c r="P568" s="123" t="str">
        <f t="shared" si="218"/>
        <v/>
      </c>
      <c r="Q568" s="88">
        <f t="shared" si="219"/>
        <v>-180514.71</v>
      </c>
      <c r="R568" s="123">
        <f t="shared" si="220"/>
        <v>0</v>
      </c>
      <c r="S568" s="88">
        <f t="shared" si="222"/>
        <v>-344448.07</v>
      </c>
      <c r="T568" s="124">
        <f t="shared" si="224"/>
        <v>0</v>
      </c>
      <c r="U568" s="88">
        <f t="shared" si="225"/>
        <v>163933.36000000002</v>
      </c>
      <c r="V568" s="124">
        <f t="shared" si="226"/>
        <v>1.9081440509751257</v>
      </c>
      <c r="W568" s="157">
        <f t="shared" si="228"/>
        <v>7</v>
      </c>
    </row>
    <row r="569" spans="1:23" ht="11.25" customHeight="1" x14ac:dyDescent="0.25">
      <c r="A569" s="42" t="s">
        <v>1444</v>
      </c>
      <c r="B569" s="282">
        <f t="shared" si="221"/>
        <v>11</v>
      </c>
      <c r="C569" s="14"/>
      <c r="D569" s="13"/>
      <c r="E569" s="13"/>
      <c r="F569" s="373" t="s">
        <v>587</v>
      </c>
      <c r="G569" s="374"/>
      <c r="H569" s="11">
        <v>83072.53</v>
      </c>
      <c r="I569" s="11">
        <v>-180514.71</v>
      </c>
      <c r="J569" s="336">
        <v>0</v>
      </c>
      <c r="K569" s="130">
        <v>-344448.07</v>
      </c>
      <c r="L569" s="141"/>
      <c r="O569" s="88">
        <f t="shared" si="217"/>
        <v>0</v>
      </c>
      <c r="P569" s="123" t="str">
        <f t="shared" si="218"/>
        <v/>
      </c>
      <c r="Q569" s="88">
        <f t="shared" si="219"/>
        <v>-180514.71</v>
      </c>
      <c r="R569" s="123">
        <f t="shared" si="220"/>
        <v>0</v>
      </c>
      <c r="S569" s="88">
        <f t="shared" si="222"/>
        <v>-344448.07</v>
      </c>
      <c r="T569" s="124">
        <f t="shared" si="224"/>
        <v>0</v>
      </c>
      <c r="U569" s="88">
        <f t="shared" si="225"/>
        <v>163933.36000000002</v>
      </c>
      <c r="V569" s="124">
        <f t="shared" si="226"/>
        <v>1.9081440509751257</v>
      </c>
      <c r="W569" s="157">
        <f t="shared" si="228"/>
        <v>11</v>
      </c>
    </row>
    <row r="570" spans="1:23" ht="11.25" customHeight="1" x14ac:dyDescent="0.25">
      <c r="A570" s="26" t="s">
        <v>1445</v>
      </c>
      <c r="B570" s="282">
        <f t="shared" si="221"/>
        <v>7</v>
      </c>
      <c r="C570" s="26"/>
      <c r="D570" s="23"/>
      <c r="E570" s="23"/>
      <c r="F570" s="379" t="s">
        <v>588</v>
      </c>
      <c r="G570" s="380"/>
      <c r="H570" s="25">
        <f t="shared" ref="H570:L570" si="241">H571</f>
        <v>327719.55</v>
      </c>
      <c r="I570" s="25">
        <f t="shared" si="241"/>
        <v>271409.18</v>
      </c>
      <c r="J570" s="129">
        <f t="shared" si="241"/>
        <v>0</v>
      </c>
      <c r="K570" s="129">
        <f t="shared" si="241"/>
        <v>0</v>
      </c>
      <c r="L570" s="140">
        <f t="shared" si="241"/>
        <v>0</v>
      </c>
      <c r="O570" s="88">
        <f t="shared" si="217"/>
        <v>0</v>
      </c>
      <c r="P570" s="123" t="str">
        <f t="shared" si="218"/>
        <v/>
      </c>
      <c r="Q570" s="88">
        <f t="shared" si="219"/>
        <v>271409.18</v>
      </c>
      <c r="R570" s="123">
        <f t="shared" si="220"/>
        <v>0</v>
      </c>
      <c r="S570" s="88">
        <f t="shared" si="222"/>
        <v>0</v>
      </c>
      <c r="T570" s="124" t="str">
        <f t="shared" si="224"/>
        <v/>
      </c>
      <c r="U570" s="88">
        <f t="shared" si="225"/>
        <v>271409.18</v>
      </c>
      <c r="V570" s="124">
        <f t="shared" si="226"/>
        <v>0</v>
      </c>
      <c r="W570" s="157">
        <f t="shared" si="228"/>
        <v>7</v>
      </c>
    </row>
    <row r="571" spans="1:23" ht="11.25" customHeight="1" x14ac:dyDescent="0.25">
      <c r="A571" s="42" t="s">
        <v>1446</v>
      </c>
      <c r="B571" s="282">
        <f t="shared" si="221"/>
        <v>11</v>
      </c>
      <c r="C571" s="14"/>
      <c r="D571" s="13"/>
      <c r="E571" s="13"/>
      <c r="F571" s="373" t="s">
        <v>589</v>
      </c>
      <c r="G571" s="374"/>
      <c r="H571" s="11">
        <v>327719.55</v>
      </c>
      <c r="I571" s="11">
        <v>271409.18</v>
      </c>
      <c r="J571" s="336">
        <v>0</v>
      </c>
      <c r="K571" s="130">
        <v>0</v>
      </c>
      <c r="L571" s="141"/>
      <c r="O571" s="88">
        <f t="shared" si="217"/>
        <v>0</v>
      </c>
      <c r="P571" s="123" t="str">
        <f t="shared" si="218"/>
        <v/>
      </c>
      <c r="Q571" s="88">
        <f t="shared" si="219"/>
        <v>271409.18</v>
      </c>
      <c r="R571" s="123">
        <f t="shared" si="220"/>
        <v>0</v>
      </c>
      <c r="S571" s="88">
        <f t="shared" si="222"/>
        <v>0</v>
      </c>
      <c r="T571" s="124" t="str">
        <f t="shared" si="224"/>
        <v/>
      </c>
      <c r="U571" s="88">
        <f t="shared" si="225"/>
        <v>271409.18</v>
      </c>
      <c r="V571" s="124">
        <f t="shared" si="226"/>
        <v>0</v>
      </c>
      <c r="W571" s="157">
        <f t="shared" si="228"/>
        <v>11</v>
      </c>
    </row>
    <row r="572" spans="1:23" ht="11.25" customHeight="1" x14ac:dyDescent="0.25">
      <c r="A572" s="41" t="s">
        <v>590</v>
      </c>
      <c r="B572" s="282">
        <f t="shared" si="221"/>
        <v>3</v>
      </c>
      <c r="C572" s="41"/>
      <c r="D572" s="40"/>
      <c r="E572" s="40"/>
      <c r="F572" s="383" t="s">
        <v>591</v>
      </c>
      <c r="G572" s="384"/>
      <c r="H572" s="43">
        <f>H573+H574+H577+H584+H587+H588+H589+H590</f>
        <v>-197021.93999999997</v>
      </c>
      <c r="I572" s="43">
        <f>I573+I574+I577+I584+I587+I588+I589+I590</f>
        <v>-334483.24</v>
      </c>
      <c r="J572" s="127">
        <f>J573+J574+J577+J584+J587+J588+J589+J590</f>
        <v>-199999.999999992</v>
      </c>
      <c r="K572" s="127">
        <f t="shared" ref="K572:L572" si="242">K573+K574+K577+K584+K587+K588+K589+K590</f>
        <v>-239447.54</v>
      </c>
      <c r="L572" s="138">
        <f t="shared" si="242"/>
        <v>-280000</v>
      </c>
      <c r="O572" s="88">
        <f t="shared" si="217"/>
        <v>80000.000000008004</v>
      </c>
      <c r="P572" s="123">
        <f t="shared" si="218"/>
        <v>1.4000000000000561</v>
      </c>
      <c r="Q572" s="88">
        <f t="shared" si="219"/>
        <v>-54483.239999999991</v>
      </c>
      <c r="R572" s="123">
        <f t="shared" si="220"/>
        <v>0.83711219731069342</v>
      </c>
      <c r="S572" s="88">
        <f t="shared" si="222"/>
        <v>40552.459999999992</v>
      </c>
      <c r="T572" s="124">
        <f t="shared" si="224"/>
        <v>1.1693584323313573</v>
      </c>
      <c r="U572" s="88">
        <f t="shared" si="225"/>
        <v>-95035.699999999983</v>
      </c>
      <c r="V572" s="124">
        <f t="shared" si="226"/>
        <v>0.71587305839300053</v>
      </c>
      <c r="W572" s="157">
        <f t="shared" si="228"/>
        <v>3</v>
      </c>
    </row>
    <row r="573" spans="1:23" ht="11.25" customHeight="1" x14ac:dyDescent="0.25">
      <c r="A573" s="38" t="s">
        <v>592</v>
      </c>
      <c r="B573" s="282">
        <f t="shared" si="221"/>
        <v>4</v>
      </c>
      <c r="C573" s="38"/>
      <c r="D573" s="22"/>
      <c r="E573" s="22"/>
      <c r="F573" s="385" t="s">
        <v>593</v>
      </c>
      <c r="G573" s="386"/>
      <c r="H573" s="37">
        <v>0</v>
      </c>
      <c r="I573" s="37">
        <v>0</v>
      </c>
      <c r="J573" s="128">
        <v>0</v>
      </c>
      <c r="K573" s="132">
        <v>0</v>
      </c>
      <c r="L573" s="147">
        <f t="shared" si="237"/>
        <v>0</v>
      </c>
      <c r="O573" s="175">
        <f t="shared" si="217"/>
        <v>0</v>
      </c>
      <c r="P573" s="176" t="str">
        <f t="shared" si="218"/>
        <v/>
      </c>
      <c r="Q573" s="175">
        <f t="shared" si="219"/>
        <v>0</v>
      </c>
      <c r="R573" s="176" t="str">
        <f t="shared" si="220"/>
        <v/>
      </c>
      <c r="S573" s="175">
        <f t="shared" si="222"/>
        <v>0</v>
      </c>
      <c r="T573" s="177" t="str">
        <f t="shared" si="224"/>
        <v/>
      </c>
      <c r="U573" s="175">
        <f t="shared" si="225"/>
        <v>0</v>
      </c>
      <c r="V573" s="177" t="str">
        <f t="shared" si="226"/>
        <v/>
      </c>
      <c r="W573" s="157">
        <f t="shared" si="228"/>
        <v>4</v>
      </c>
    </row>
    <row r="574" spans="1:23" ht="11.25" customHeight="1" x14ac:dyDescent="0.25">
      <c r="A574" s="38" t="s">
        <v>594</v>
      </c>
      <c r="B574" s="282">
        <f t="shared" si="221"/>
        <v>4</v>
      </c>
      <c r="C574" s="38"/>
      <c r="D574" s="22"/>
      <c r="E574" s="22"/>
      <c r="F574" s="385" t="s">
        <v>595</v>
      </c>
      <c r="G574" s="386"/>
      <c r="H574" s="37">
        <f t="shared" ref="H574" si="243">H575</f>
        <v>-8.33</v>
      </c>
      <c r="I574" s="37">
        <f>I575</f>
        <v>0</v>
      </c>
      <c r="J574" s="128">
        <f t="shared" ref="J574" si="244">J575</f>
        <v>0</v>
      </c>
      <c r="K574" s="132">
        <v>0</v>
      </c>
      <c r="L574" s="147">
        <f t="shared" si="237"/>
        <v>0</v>
      </c>
      <c r="O574" s="175">
        <f t="shared" si="217"/>
        <v>0</v>
      </c>
      <c r="P574" s="176" t="str">
        <f t="shared" si="218"/>
        <v/>
      </c>
      <c r="Q574" s="175">
        <f t="shared" si="219"/>
        <v>0</v>
      </c>
      <c r="R574" s="176" t="str">
        <f t="shared" si="220"/>
        <v/>
      </c>
      <c r="S574" s="175">
        <f t="shared" si="222"/>
        <v>0</v>
      </c>
      <c r="T574" s="177" t="str">
        <f t="shared" si="224"/>
        <v/>
      </c>
      <c r="U574" s="175">
        <f t="shared" si="225"/>
        <v>0</v>
      </c>
      <c r="V574" s="177" t="str">
        <f t="shared" si="226"/>
        <v/>
      </c>
      <c r="W574" s="157">
        <f t="shared" si="228"/>
        <v>4</v>
      </c>
    </row>
    <row r="575" spans="1:23" ht="11.25" customHeight="1" x14ac:dyDescent="0.25">
      <c r="A575" s="26" t="s">
        <v>1447</v>
      </c>
      <c r="B575" s="282">
        <f t="shared" si="221"/>
        <v>7</v>
      </c>
      <c r="C575" s="26"/>
      <c r="D575" s="23"/>
      <c r="E575" s="23"/>
      <c r="F575" s="379" t="s">
        <v>596</v>
      </c>
      <c r="G575" s="380"/>
      <c r="H575" s="25">
        <f t="shared" ref="H575" si="245">H576</f>
        <v>-8.33</v>
      </c>
      <c r="I575" s="25">
        <f>I576</f>
        <v>0</v>
      </c>
      <c r="J575" s="129">
        <f t="shared" ref="J575" si="246">J576</f>
        <v>0</v>
      </c>
      <c r="K575" s="133">
        <v>0</v>
      </c>
      <c r="L575" s="150">
        <f t="shared" si="237"/>
        <v>0</v>
      </c>
      <c r="O575" s="88">
        <f t="shared" si="217"/>
        <v>0</v>
      </c>
      <c r="P575" s="123" t="str">
        <f t="shared" si="218"/>
        <v/>
      </c>
      <c r="Q575" s="88">
        <f t="shared" si="219"/>
        <v>0</v>
      </c>
      <c r="R575" s="123" t="str">
        <f t="shared" si="220"/>
        <v/>
      </c>
      <c r="S575" s="88">
        <f t="shared" si="222"/>
        <v>0</v>
      </c>
      <c r="T575" s="124" t="str">
        <f t="shared" si="224"/>
        <v/>
      </c>
      <c r="U575" s="88">
        <f t="shared" si="225"/>
        <v>0</v>
      </c>
      <c r="V575" s="124" t="str">
        <f t="shared" si="226"/>
        <v/>
      </c>
      <c r="W575" s="157">
        <f t="shared" si="228"/>
        <v>7</v>
      </c>
    </row>
    <row r="576" spans="1:23" ht="11.25" customHeight="1" x14ac:dyDescent="0.25">
      <c r="A576" s="42" t="s">
        <v>1449</v>
      </c>
      <c r="B576" s="282">
        <f t="shared" si="221"/>
        <v>11</v>
      </c>
      <c r="C576" s="14"/>
      <c r="D576" s="13"/>
      <c r="E576" s="13"/>
      <c r="F576" s="373" t="s">
        <v>597</v>
      </c>
      <c r="G576" s="374"/>
      <c r="H576" s="11">
        <v>-8.33</v>
      </c>
      <c r="I576" s="11">
        <v>0</v>
      </c>
      <c r="J576" s="336">
        <v>0</v>
      </c>
      <c r="K576" s="130">
        <v>0</v>
      </c>
      <c r="L576" s="141"/>
      <c r="O576" s="88">
        <f t="shared" si="217"/>
        <v>0</v>
      </c>
      <c r="P576" s="123" t="str">
        <f t="shared" si="218"/>
        <v/>
      </c>
      <c r="Q576" s="88">
        <f t="shared" si="219"/>
        <v>0</v>
      </c>
      <c r="R576" s="123" t="str">
        <f t="shared" si="220"/>
        <v/>
      </c>
      <c r="S576" s="88">
        <f t="shared" si="222"/>
        <v>0</v>
      </c>
      <c r="T576" s="124" t="str">
        <f t="shared" si="224"/>
        <v/>
      </c>
      <c r="U576" s="88">
        <f t="shared" si="225"/>
        <v>0</v>
      </c>
      <c r="V576" s="124" t="str">
        <f t="shared" si="226"/>
        <v/>
      </c>
      <c r="W576" s="157">
        <f t="shared" si="228"/>
        <v>11</v>
      </c>
    </row>
    <row r="577" spans="1:23" ht="11.25" customHeight="1" x14ac:dyDescent="0.25">
      <c r="A577" s="38" t="s">
        <v>598</v>
      </c>
      <c r="B577" s="282">
        <f t="shared" si="221"/>
        <v>4</v>
      </c>
      <c r="C577" s="38"/>
      <c r="D577" s="22"/>
      <c r="E577" s="22"/>
      <c r="F577" s="385" t="s">
        <v>599</v>
      </c>
      <c r="G577" s="386"/>
      <c r="H577" s="37">
        <f t="shared" ref="H577" si="247">H578+H580+H582</f>
        <v>-197013.61</v>
      </c>
      <c r="I577" s="37">
        <f>I578+I580+I582</f>
        <v>-276585.24</v>
      </c>
      <c r="J577" s="128">
        <f t="shared" ref="J577:L577" si="248">J578+J580+J582</f>
        <v>-199999.999999992</v>
      </c>
      <c r="K577" s="333">
        <f t="shared" si="248"/>
        <v>-239447.54</v>
      </c>
      <c r="L577" s="139">
        <f t="shared" si="248"/>
        <v>-280000</v>
      </c>
      <c r="O577" s="175">
        <f t="shared" si="217"/>
        <v>80000.000000008004</v>
      </c>
      <c r="P577" s="176">
        <f t="shared" si="218"/>
        <v>1.4000000000000561</v>
      </c>
      <c r="Q577" s="175">
        <f t="shared" si="219"/>
        <v>3414.7600000000093</v>
      </c>
      <c r="R577" s="176">
        <f t="shared" si="220"/>
        <v>1.0123461396566209</v>
      </c>
      <c r="S577" s="175">
        <f t="shared" si="222"/>
        <v>40552.459999999992</v>
      </c>
      <c r="T577" s="177">
        <f t="shared" si="224"/>
        <v>1.1693584323313573</v>
      </c>
      <c r="U577" s="175">
        <f t="shared" si="225"/>
        <v>-37137.699999999983</v>
      </c>
      <c r="V577" s="177">
        <f t="shared" si="226"/>
        <v>0.8657278313188369</v>
      </c>
      <c r="W577" s="157">
        <f t="shared" si="228"/>
        <v>4</v>
      </c>
    </row>
    <row r="578" spans="1:23" ht="11.25" customHeight="1" x14ac:dyDescent="0.25">
      <c r="A578" s="26" t="s">
        <v>1450</v>
      </c>
      <c r="B578" s="282">
        <f t="shared" si="221"/>
        <v>7</v>
      </c>
      <c r="C578" s="26"/>
      <c r="D578" s="23"/>
      <c r="E578" s="23"/>
      <c r="F578" s="379" t="s">
        <v>600</v>
      </c>
      <c r="G578" s="380"/>
      <c r="H578" s="25">
        <f t="shared" ref="H578" si="249">H579</f>
        <v>0</v>
      </c>
      <c r="I578" s="25">
        <f>I579</f>
        <v>99.06</v>
      </c>
      <c r="J578" s="129">
        <f t="shared" ref="J578:L578" si="250">J579</f>
        <v>0</v>
      </c>
      <c r="K578" s="129">
        <f t="shared" si="250"/>
        <v>0</v>
      </c>
      <c r="L578" s="140">
        <f t="shared" si="250"/>
        <v>0</v>
      </c>
      <c r="O578" s="88">
        <f t="shared" si="217"/>
        <v>0</v>
      </c>
      <c r="P578" s="123" t="str">
        <f t="shared" si="218"/>
        <v/>
      </c>
      <c r="Q578" s="88">
        <f t="shared" si="219"/>
        <v>99.06</v>
      </c>
      <c r="R578" s="123">
        <f t="shared" si="220"/>
        <v>0</v>
      </c>
      <c r="S578" s="88">
        <f t="shared" si="222"/>
        <v>0</v>
      </c>
      <c r="T578" s="124" t="str">
        <f t="shared" si="224"/>
        <v/>
      </c>
      <c r="U578" s="88">
        <f t="shared" si="225"/>
        <v>99.06</v>
      </c>
      <c r="V578" s="124">
        <f t="shared" si="226"/>
        <v>0</v>
      </c>
      <c r="W578" s="157">
        <f t="shared" si="228"/>
        <v>7</v>
      </c>
    </row>
    <row r="579" spans="1:23" ht="11.25" customHeight="1" x14ac:dyDescent="0.25">
      <c r="A579" s="42" t="s">
        <v>1451</v>
      </c>
      <c r="B579" s="282">
        <f t="shared" si="221"/>
        <v>11</v>
      </c>
      <c r="C579" s="14"/>
      <c r="D579" s="13"/>
      <c r="E579" s="13"/>
      <c r="F579" s="373" t="s">
        <v>601</v>
      </c>
      <c r="G579" s="374"/>
      <c r="H579" s="11">
        <v>0</v>
      </c>
      <c r="I579" s="11">
        <v>99.06</v>
      </c>
      <c r="J579" s="336">
        <v>0</v>
      </c>
      <c r="K579" s="130">
        <v>0</v>
      </c>
      <c r="L579" s="141"/>
      <c r="O579" s="88">
        <f t="shared" si="217"/>
        <v>0</v>
      </c>
      <c r="P579" s="123" t="str">
        <f t="shared" si="218"/>
        <v/>
      </c>
      <c r="Q579" s="88">
        <f t="shared" si="219"/>
        <v>99.06</v>
      </c>
      <c r="R579" s="123">
        <f t="shared" si="220"/>
        <v>0</v>
      </c>
      <c r="S579" s="88">
        <f t="shared" si="222"/>
        <v>0</v>
      </c>
      <c r="T579" s="124" t="str">
        <f t="shared" si="224"/>
        <v/>
      </c>
      <c r="U579" s="88">
        <f t="shared" si="225"/>
        <v>99.06</v>
      </c>
      <c r="V579" s="124">
        <f t="shared" si="226"/>
        <v>0</v>
      </c>
      <c r="W579" s="157">
        <f t="shared" si="228"/>
        <v>11</v>
      </c>
    </row>
    <row r="580" spans="1:23" ht="11.25" customHeight="1" x14ac:dyDescent="0.25">
      <c r="A580" s="26" t="s">
        <v>1452</v>
      </c>
      <c r="B580" s="282">
        <f t="shared" si="221"/>
        <v>7</v>
      </c>
      <c r="C580" s="26"/>
      <c r="D580" s="23"/>
      <c r="E580" s="23"/>
      <c r="F580" s="379" t="s">
        <v>602</v>
      </c>
      <c r="G580" s="380"/>
      <c r="H580" s="25">
        <f t="shared" ref="H580" si="251">H581</f>
        <v>-197013.61</v>
      </c>
      <c r="I580" s="25">
        <f>I581</f>
        <v>-276585.24</v>
      </c>
      <c r="J580" s="129">
        <f t="shared" ref="J580:L580" si="252">J581</f>
        <v>-199999.999999992</v>
      </c>
      <c r="K580" s="129">
        <f t="shared" si="252"/>
        <v>-239447.54</v>
      </c>
      <c r="L580" s="140">
        <f t="shared" si="252"/>
        <v>-280000</v>
      </c>
      <c r="O580" s="88">
        <f t="shared" si="217"/>
        <v>80000.000000008004</v>
      </c>
      <c r="P580" s="123">
        <f t="shared" si="218"/>
        <v>1.4000000000000561</v>
      </c>
      <c r="Q580" s="88">
        <f t="shared" si="219"/>
        <v>3414.7600000000093</v>
      </c>
      <c r="R580" s="123">
        <f t="shared" si="220"/>
        <v>1.0123461396566209</v>
      </c>
      <c r="S580" s="88">
        <f t="shared" si="222"/>
        <v>40552.459999999992</v>
      </c>
      <c r="T580" s="124">
        <f t="shared" si="224"/>
        <v>1.1693584323313573</v>
      </c>
      <c r="U580" s="88">
        <f t="shared" si="225"/>
        <v>-37137.699999999983</v>
      </c>
      <c r="V580" s="124">
        <f t="shared" si="226"/>
        <v>0.8657278313188369</v>
      </c>
      <c r="W580" s="157">
        <f t="shared" si="228"/>
        <v>7</v>
      </c>
    </row>
    <row r="581" spans="1:23" ht="11.25" customHeight="1" x14ac:dyDescent="0.25">
      <c r="A581" s="42" t="s">
        <v>1448</v>
      </c>
      <c r="B581" s="282">
        <f t="shared" si="221"/>
        <v>11</v>
      </c>
      <c r="C581" s="27" t="s">
        <v>916</v>
      </c>
      <c r="D581" s="28" t="s">
        <v>923</v>
      </c>
      <c r="E581" s="28" t="s">
        <v>1643</v>
      </c>
      <c r="F581" s="373" t="s">
        <v>603</v>
      </c>
      <c r="G581" s="374"/>
      <c r="H581" s="11">
        <v>-197013.61</v>
      </c>
      <c r="I581" s="11">
        <v>-276585.24</v>
      </c>
      <c r="J581" s="336">
        <v>-199999.999999992</v>
      </c>
      <c r="K581" s="130">
        <v>-239447.54</v>
      </c>
      <c r="L581" s="142">
        <v>-280000</v>
      </c>
      <c r="O581" s="88">
        <f t="shared" si="217"/>
        <v>80000.000000008004</v>
      </c>
      <c r="P581" s="123">
        <f t="shared" si="218"/>
        <v>1.4000000000000561</v>
      </c>
      <c r="Q581" s="88">
        <f t="shared" si="219"/>
        <v>3414.7600000000093</v>
      </c>
      <c r="R581" s="123">
        <f t="shared" si="220"/>
        <v>1.0123461396566209</v>
      </c>
      <c r="S581" s="88">
        <f t="shared" si="222"/>
        <v>40552.459999999992</v>
      </c>
      <c r="T581" s="124">
        <f t="shared" si="224"/>
        <v>1.1693584323313573</v>
      </c>
      <c r="U581" s="88">
        <f t="shared" si="225"/>
        <v>-37137.699999999983</v>
      </c>
      <c r="V581" s="124">
        <f t="shared" si="226"/>
        <v>0.8657278313188369</v>
      </c>
      <c r="W581" s="157">
        <f t="shared" si="228"/>
        <v>11</v>
      </c>
    </row>
    <row r="582" spans="1:23" ht="11.25" customHeight="1" x14ac:dyDescent="0.25">
      <c r="A582" s="26" t="s">
        <v>1453</v>
      </c>
      <c r="B582" s="282">
        <f t="shared" si="221"/>
        <v>7</v>
      </c>
      <c r="C582" s="26"/>
      <c r="D582" s="23"/>
      <c r="E582" s="23"/>
      <c r="F582" s="379" t="s">
        <v>604</v>
      </c>
      <c r="G582" s="380"/>
      <c r="H582" s="25">
        <f t="shared" ref="H582" si="253">H583</f>
        <v>0</v>
      </c>
      <c r="I582" s="25">
        <f>I583</f>
        <v>-99.06</v>
      </c>
      <c r="J582" s="129">
        <f t="shared" ref="J582:L582" si="254">J583</f>
        <v>0</v>
      </c>
      <c r="K582" s="129">
        <f t="shared" si="254"/>
        <v>0</v>
      </c>
      <c r="L582" s="140">
        <f t="shared" si="254"/>
        <v>0</v>
      </c>
      <c r="O582" s="88">
        <f t="shared" si="217"/>
        <v>0</v>
      </c>
      <c r="P582" s="123" t="str">
        <f t="shared" si="218"/>
        <v/>
      </c>
      <c r="Q582" s="88">
        <f t="shared" si="219"/>
        <v>-99.06</v>
      </c>
      <c r="R582" s="123">
        <f t="shared" si="220"/>
        <v>0</v>
      </c>
      <c r="S582" s="88">
        <f t="shared" si="222"/>
        <v>0</v>
      </c>
      <c r="T582" s="124" t="str">
        <f t="shared" si="224"/>
        <v/>
      </c>
      <c r="U582" s="88">
        <f t="shared" si="225"/>
        <v>-99.06</v>
      </c>
      <c r="V582" s="124">
        <f t="shared" si="226"/>
        <v>0</v>
      </c>
      <c r="W582" s="157">
        <f t="shared" si="228"/>
        <v>7</v>
      </c>
    </row>
    <row r="583" spans="1:23" ht="11.25" customHeight="1" x14ac:dyDescent="0.25">
      <c r="A583" s="42" t="s">
        <v>1454</v>
      </c>
      <c r="B583" s="282">
        <f t="shared" si="221"/>
        <v>11</v>
      </c>
      <c r="C583" s="14"/>
      <c r="D583" s="13"/>
      <c r="E583" s="13"/>
      <c r="F583" s="373" t="s">
        <v>605</v>
      </c>
      <c r="G583" s="374"/>
      <c r="H583" s="11">
        <v>0</v>
      </c>
      <c r="I583" s="11">
        <v>-99.06</v>
      </c>
      <c r="J583" s="336">
        <v>0</v>
      </c>
      <c r="K583" s="130">
        <v>0</v>
      </c>
      <c r="L583" s="141"/>
      <c r="O583" s="88">
        <f t="shared" si="217"/>
        <v>0</v>
      </c>
      <c r="P583" s="123" t="str">
        <f t="shared" si="218"/>
        <v/>
      </c>
      <c r="Q583" s="88">
        <f t="shared" si="219"/>
        <v>-99.06</v>
      </c>
      <c r="R583" s="123">
        <f t="shared" si="220"/>
        <v>0</v>
      </c>
      <c r="S583" s="88">
        <f t="shared" si="222"/>
        <v>0</v>
      </c>
      <c r="T583" s="124" t="str">
        <f t="shared" si="224"/>
        <v/>
      </c>
      <c r="U583" s="88">
        <f t="shared" si="225"/>
        <v>-99.06</v>
      </c>
      <c r="V583" s="124">
        <f t="shared" si="226"/>
        <v>0</v>
      </c>
      <c r="W583" s="157">
        <f t="shared" si="228"/>
        <v>11</v>
      </c>
    </row>
    <row r="584" spans="1:23" ht="11.25" customHeight="1" x14ac:dyDescent="0.25">
      <c r="A584" s="38" t="s">
        <v>606</v>
      </c>
      <c r="B584" s="282">
        <f t="shared" si="221"/>
        <v>4</v>
      </c>
      <c r="C584" s="38"/>
      <c r="D584" s="22"/>
      <c r="E584" s="22"/>
      <c r="F584" s="385" t="s">
        <v>607</v>
      </c>
      <c r="G584" s="386"/>
      <c r="H584" s="37">
        <f t="shared" ref="H584" si="255">H585</f>
        <v>0</v>
      </c>
      <c r="I584" s="37">
        <f>I585</f>
        <v>-57898</v>
      </c>
      <c r="J584" s="128">
        <f t="shared" ref="J584:L584" si="256">J585</f>
        <v>0</v>
      </c>
      <c r="K584" s="128">
        <f t="shared" si="256"/>
        <v>0</v>
      </c>
      <c r="L584" s="139">
        <f t="shared" si="256"/>
        <v>0</v>
      </c>
      <c r="O584" s="175">
        <f t="shared" si="217"/>
        <v>0</v>
      </c>
      <c r="P584" s="176" t="str">
        <f t="shared" si="218"/>
        <v/>
      </c>
      <c r="Q584" s="175">
        <f t="shared" si="219"/>
        <v>-57898</v>
      </c>
      <c r="R584" s="176">
        <f t="shared" si="220"/>
        <v>0</v>
      </c>
      <c r="S584" s="175">
        <f t="shared" si="222"/>
        <v>0</v>
      </c>
      <c r="T584" s="177" t="str">
        <f t="shared" si="224"/>
        <v/>
      </c>
      <c r="U584" s="175">
        <f t="shared" si="225"/>
        <v>-57898</v>
      </c>
      <c r="V584" s="177">
        <f t="shared" si="226"/>
        <v>0</v>
      </c>
      <c r="W584" s="157">
        <f t="shared" si="228"/>
        <v>4</v>
      </c>
    </row>
    <row r="585" spans="1:23" ht="11.25" customHeight="1" x14ac:dyDescent="0.25">
      <c r="A585" s="26" t="s">
        <v>1455</v>
      </c>
      <c r="B585" s="282">
        <f t="shared" si="221"/>
        <v>7</v>
      </c>
      <c r="C585" s="26"/>
      <c r="D585" s="23"/>
      <c r="E585" s="23"/>
      <c r="F585" s="379" t="s">
        <v>608</v>
      </c>
      <c r="G585" s="380"/>
      <c r="H585" s="25">
        <f t="shared" ref="H585" si="257">H586</f>
        <v>0</v>
      </c>
      <c r="I585" s="25">
        <f>I586</f>
        <v>-57898</v>
      </c>
      <c r="J585" s="129">
        <f t="shared" ref="J585:L585" si="258">J586</f>
        <v>0</v>
      </c>
      <c r="K585" s="129">
        <f t="shared" si="258"/>
        <v>0</v>
      </c>
      <c r="L585" s="140">
        <f t="shared" si="258"/>
        <v>0</v>
      </c>
      <c r="O585" s="88">
        <f t="shared" si="217"/>
        <v>0</v>
      </c>
      <c r="P585" s="123" t="str">
        <f t="shared" si="218"/>
        <v/>
      </c>
      <c r="Q585" s="88">
        <f t="shared" si="219"/>
        <v>-57898</v>
      </c>
      <c r="R585" s="123">
        <f t="shared" si="220"/>
        <v>0</v>
      </c>
      <c r="S585" s="88">
        <f t="shared" si="222"/>
        <v>0</v>
      </c>
      <c r="T585" s="124" t="str">
        <f t="shared" si="224"/>
        <v/>
      </c>
      <c r="U585" s="88">
        <f t="shared" si="225"/>
        <v>-57898</v>
      </c>
      <c r="V585" s="124">
        <f t="shared" si="226"/>
        <v>0</v>
      </c>
      <c r="W585" s="157">
        <f t="shared" si="228"/>
        <v>7</v>
      </c>
    </row>
    <row r="586" spans="1:23" ht="11.25" customHeight="1" x14ac:dyDescent="0.25">
      <c r="A586" s="42" t="s">
        <v>1456</v>
      </c>
      <c r="B586" s="282">
        <f t="shared" si="221"/>
        <v>11</v>
      </c>
      <c r="C586" s="14"/>
      <c r="D586" s="13"/>
      <c r="E586" s="13"/>
      <c r="F586" s="373" t="s">
        <v>609</v>
      </c>
      <c r="G586" s="374"/>
      <c r="H586" s="11">
        <v>0</v>
      </c>
      <c r="I586" s="11">
        <v>-57898</v>
      </c>
      <c r="J586" s="336">
        <v>0</v>
      </c>
      <c r="K586" s="130">
        <v>0</v>
      </c>
      <c r="L586" s="141"/>
      <c r="O586" s="88">
        <f t="shared" si="217"/>
        <v>0</v>
      </c>
      <c r="P586" s="123" t="str">
        <f t="shared" si="218"/>
        <v/>
      </c>
      <c r="Q586" s="88">
        <f t="shared" si="219"/>
        <v>-57898</v>
      </c>
      <c r="R586" s="123">
        <f t="shared" si="220"/>
        <v>0</v>
      </c>
      <c r="S586" s="88">
        <f t="shared" si="222"/>
        <v>0</v>
      </c>
      <c r="T586" s="124" t="str">
        <f t="shared" si="224"/>
        <v/>
      </c>
      <c r="U586" s="88">
        <f t="shared" si="225"/>
        <v>-57898</v>
      </c>
      <c r="V586" s="124">
        <f t="shared" si="226"/>
        <v>0</v>
      </c>
      <c r="W586" s="157">
        <f t="shared" si="228"/>
        <v>11</v>
      </c>
    </row>
    <row r="587" spans="1:23" ht="11.25" customHeight="1" x14ac:dyDescent="0.25">
      <c r="A587" s="38"/>
      <c r="B587" s="282"/>
      <c r="C587" s="38"/>
      <c r="D587" s="22"/>
      <c r="E587" s="22"/>
      <c r="F587" s="385"/>
      <c r="G587" s="386"/>
      <c r="H587" s="37">
        <v>0</v>
      </c>
      <c r="I587" s="37">
        <v>0</v>
      </c>
      <c r="J587" s="128">
        <v>0</v>
      </c>
      <c r="K587" s="128">
        <v>0</v>
      </c>
      <c r="L587" s="139">
        <v>0</v>
      </c>
      <c r="O587" s="175">
        <f t="shared" ref="O587:O617" si="259">-L587+J587</f>
        <v>0</v>
      </c>
      <c r="P587" s="176" t="str">
        <f t="shared" ref="P587:P650" si="260">IF(J587=0,"",L587/J587)</f>
        <v/>
      </c>
      <c r="Q587" s="175">
        <f t="shared" ref="Q587:Q617" si="261">-L587+I587</f>
        <v>0</v>
      </c>
      <c r="R587" s="176" t="str">
        <f t="shared" ref="R587:R650" si="262">IF(I587=0,"",L587/I587)</f>
        <v/>
      </c>
      <c r="S587" s="175">
        <f t="shared" si="222"/>
        <v>0</v>
      </c>
      <c r="T587" s="177" t="str">
        <f t="shared" si="224"/>
        <v/>
      </c>
      <c r="U587" s="175">
        <f t="shared" si="225"/>
        <v>0</v>
      </c>
      <c r="V587" s="177" t="str">
        <f t="shared" si="226"/>
        <v/>
      </c>
      <c r="W587" s="157">
        <f t="shared" si="228"/>
        <v>0</v>
      </c>
    </row>
    <row r="588" spans="1:23" ht="11.25" customHeight="1" x14ac:dyDescent="0.25">
      <c r="A588" s="38"/>
      <c r="B588" s="282"/>
      <c r="C588" s="38"/>
      <c r="D588" s="22"/>
      <c r="E588" s="22"/>
      <c r="F588" s="385"/>
      <c r="G588" s="386"/>
      <c r="H588" s="37">
        <v>0</v>
      </c>
      <c r="I588" s="37">
        <v>0</v>
      </c>
      <c r="J588" s="128">
        <v>0</v>
      </c>
      <c r="K588" s="128">
        <v>0</v>
      </c>
      <c r="L588" s="139">
        <v>0</v>
      </c>
      <c r="O588" s="175">
        <f t="shared" si="259"/>
        <v>0</v>
      </c>
      <c r="P588" s="176" t="str">
        <f t="shared" si="260"/>
        <v/>
      </c>
      <c r="Q588" s="175">
        <f t="shared" si="261"/>
        <v>0</v>
      </c>
      <c r="R588" s="176" t="str">
        <f t="shared" si="262"/>
        <v/>
      </c>
      <c r="S588" s="175">
        <f t="shared" ref="S588:S620" si="263">-L588+K588</f>
        <v>0</v>
      </c>
      <c r="T588" s="177" t="str">
        <f t="shared" si="224"/>
        <v/>
      </c>
      <c r="U588" s="175">
        <f t="shared" si="225"/>
        <v>0</v>
      </c>
      <c r="V588" s="177" t="str">
        <f t="shared" si="226"/>
        <v/>
      </c>
      <c r="W588" s="157">
        <f t="shared" si="228"/>
        <v>0</v>
      </c>
    </row>
    <row r="589" spans="1:23" ht="11.25" customHeight="1" x14ac:dyDescent="0.25">
      <c r="A589" s="38"/>
      <c r="B589" s="282"/>
      <c r="C589" s="38"/>
      <c r="D589" s="22"/>
      <c r="E589" s="22"/>
      <c r="F589" s="385"/>
      <c r="G589" s="386"/>
      <c r="H589" s="37">
        <v>0</v>
      </c>
      <c r="I589" s="37">
        <v>0</v>
      </c>
      <c r="J589" s="128">
        <v>0</v>
      </c>
      <c r="K589" s="128">
        <v>0</v>
      </c>
      <c r="L589" s="139">
        <v>0</v>
      </c>
      <c r="O589" s="175">
        <f t="shared" si="259"/>
        <v>0</v>
      </c>
      <c r="P589" s="176" t="str">
        <f t="shared" si="260"/>
        <v/>
      </c>
      <c r="Q589" s="175">
        <f t="shared" si="261"/>
        <v>0</v>
      </c>
      <c r="R589" s="176" t="str">
        <f t="shared" si="262"/>
        <v/>
      </c>
      <c r="S589" s="175">
        <f t="shared" si="263"/>
        <v>0</v>
      </c>
      <c r="T589" s="177" t="str">
        <f t="shared" ref="T589:T652" si="264">IF(K589=0,"",L589/K589)</f>
        <v/>
      </c>
      <c r="U589" s="175">
        <f t="shared" ref="U589:U617" si="265">-K589+I589</f>
        <v>0</v>
      </c>
      <c r="V589" s="177" t="str">
        <f t="shared" ref="V589:V617" si="266">IF(I589=0,"",K589/I589)</f>
        <v/>
      </c>
      <c r="W589" s="157">
        <f t="shared" si="228"/>
        <v>0</v>
      </c>
    </row>
    <row r="590" spans="1:23" ht="11.25" customHeight="1" x14ac:dyDescent="0.25">
      <c r="A590" s="38" t="s">
        <v>616</v>
      </c>
      <c r="B590" s="282">
        <f t="shared" ref="B590:B651" si="267">LEN(A590)</f>
        <v>4</v>
      </c>
      <c r="C590" s="38"/>
      <c r="D590" s="22"/>
      <c r="E590" s="22"/>
      <c r="F590" s="385" t="s">
        <v>1943</v>
      </c>
      <c r="G590" s="386"/>
      <c r="H590" s="37">
        <v>0</v>
      </c>
      <c r="I590" s="37">
        <v>0</v>
      </c>
      <c r="J590" s="128">
        <v>0</v>
      </c>
      <c r="K590" s="128">
        <v>0</v>
      </c>
      <c r="L590" s="139">
        <v>0</v>
      </c>
      <c r="O590" s="175">
        <f t="shared" si="259"/>
        <v>0</v>
      </c>
      <c r="P590" s="176" t="str">
        <f t="shared" si="260"/>
        <v/>
      </c>
      <c r="Q590" s="175">
        <f t="shared" si="261"/>
        <v>0</v>
      </c>
      <c r="R590" s="176" t="str">
        <f t="shared" si="262"/>
        <v/>
      </c>
      <c r="S590" s="175">
        <f t="shared" si="263"/>
        <v>0</v>
      </c>
      <c r="T590" s="177" t="str">
        <f t="shared" si="264"/>
        <v/>
      </c>
      <c r="U590" s="175">
        <f t="shared" si="265"/>
        <v>0</v>
      </c>
      <c r="V590" s="177" t="str">
        <f t="shared" si="266"/>
        <v/>
      </c>
      <c r="W590" s="157">
        <f t="shared" si="228"/>
        <v>4</v>
      </c>
    </row>
    <row r="591" spans="1:23" ht="11.25" customHeight="1" x14ac:dyDescent="0.25">
      <c r="A591" s="41" t="s">
        <v>618</v>
      </c>
      <c r="B591" s="282">
        <f t="shared" si="267"/>
        <v>3</v>
      </c>
      <c r="C591" s="41"/>
      <c r="D591" s="40"/>
      <c r="E591" s="40"/>
      <c r="F591" s="383" t="s">
        <v>619</v>
      </c>
      <c r="G591" s="384"/>
      <c r="H591" s="43">
        <f t="shared" ref="H591" si="268">H592+H593</f>
        <v>0</v>
      </c>
      <c r="I591" s="43">
        <f>I592+I593</f>
        <v>0</v>
      </c>
      <c r="J591" s="127">
        <f t="shared" ref="J591:L591" si="269">J592+J593</f>
        <v>0</v>
      </c>
      <c r="K591" s="127">
        <f t="shared" si="269"/>
        <v>0</v>
      </c>
      <c r="L591" s="138">
        <f t="shared" si="269"/>
        <v>0</v>
      </c>
      <c r="O591" s="88">
        <f t="shared" si="259"/>
        <v>0</v>
      </c>
      <c r="P591" s="123" t="str">
        <f t="shared" si="260"/>
        <v/>
      </c>
      <c r="Q591" s="88">
        <f t="shared" si="261"/>
        <v>0</v>
      </c>
      <c r="R591" s="123" t="str">
        <f t="shared" si="262"/>
        <v/>
      </c>
      <c r="S591" s="88">
        <f t="shared" si="263"/>
        <v>0</v>
      </c>
      <c r="T591" s="124" t="str">
        <f t="shared" si="264"/>
        <v/>
      </c>
      <c r="U591" s="88">
        <f t="shared" si="265"/>
        <v>0</v>
      </c>
      <c r="V591" s="124" t="str">
        <f t="shared" si="266"/>
        <v/>
      </c>
      <c r="W591" s="157">
        <f t="shared" ref="W591:W654" si="270">LEN(A591)</f>
        <v>3</v>
      </c>
    </row>
    <row r="592" spans="1:23" ht="11.25" customHeight="1" x14ac:dyDescent="0.25">
      <c r="A592" s="38" t="s">
        <v>620</v>
      </c>
      <c r="B592" s="282">
        <f t="shared" si="267"/>
        <v>4</v>
      </c>
      <c r="C592" s="38"/>
      <c r="D592" s="22"/>
      <c r="E592" s="22"/>
      <c r="F592" s="385" t="s">
        <v>621</v>
      </c>
      <c r="G592" s="386"/>
      <c r="H592" s="37">
        <v>0</v>
      </c>
      <c r="I592" s="37">
        <v>0</v>
      </c>
      <c r="J592" s="128">
        <v>0</v>
      </c>
      <c r="K592" s="128">
        <v>0</v>
      </c>
      <c r="L592" s="139">
        <v>0</v>
      </c>
      <c r="O592" s="175">
        <f t="shared" si="259"/>
        <v>0</v>
      </c>
      <c r="P592" s="176" t="str">
        <f t="shared" si="260"/>
        <v/>
      </c>
      <c r="Q592" s="175">
        <f t="shared" si="261"/>
        <v>0</v>
      </c>
      <c r="R592" s="176" t="str">
        <f t="shared" si="262"/>
        <v/>
      </c>
      <c r="S592" s="175">
        <f t="shared" si="263"/>
        <v>0</v>
      </c>
      <c r="T592" s="177" t="str">
        <f t="shared" si="264"/>
        <v/>
      </c>
      <c r="U592" s="175">
        <f t="shared" si="265"/>
        <v>0</v>
      </c>
      <c r="V592" s="177" t="str">
        <f t="shared" si="266"/>
        <v/>
      </c>
      <c r="W592" s="157">
        <f t="shared" si="270"/>
        <v>4</v>
      </c>
    </row>
    <row r="593" spans="1:23" ht="11.25" customHeight="1" x14ac:dyDescent="0.25">
      <c r="A593" s="38" t="s">
        <v>622</v>
      </c>
      <c r="B593" s="282">
        <f t="shared" si="267"/>
        <v>4</v>
      </c>
      <c r="C593" s="38"/>
      <c r="D593" s="22"/>
      <c r="E593" s="22"/>
      <c r="F593" s="385" t="s">
        <v>623</v>
      </c>
      <c r="G593" s="386"/>
      <c r="H593" s="37">
        <v>0</v>
      </c>
      <c r="I593" s="37">
        <v>0</v>
      </c>
      <c r="J593" s="128">
        <v>0</v>
      </c>
      <c r="K593" s="128">
        <v>0</v>
      </c>
      <c r="L593" s="139">
        <v>0</v>
      </c>
      <c r="O593" s="175">
        <f t="shared" si="259"/>
        <v>0</v>
      </c>
      <c r="P593" s="176" t="str">
        <f t="shared" si="260"/>
        <v/>
      </c>
      <c r="Q593" s="175">
        <f t="shared" si="261"/>
        <v>0</v>
      </c>
      <c r="R593" s="176" t="str">
        <f t="shared" si="262"/>
        <v/>
      </c>
      <c r="S593" s="175">
        <f t="shared" si="263"/>
        <v>0</v>
      </c>
      <c r="T593" s="177" t="str">
        <f t="shared" si="264"/>
        <v/>
      </c>
      <c r="U593" s="175">
        <f t="shared" si="265"/>
        <v>0</v>
      </c>
      <c r="V593" s="177" t="str">
        <f t="shared" si="266"/>
        <v/>
      </c>
      <c r="W593" s="157">
        <f t="shared" si="270"/>
        <v>4</v>
      </c>
    </row>
    <row r="594" spans="1:23" ht="11.25" customHeight="1" x14ac:dyDescent="0.25">
      <c r="A594" s="41" t="s">
        <v>624</v>
      </c>
      <c r="B594" s="282">
        <f t="shared" si="267"/>
        <v>3</v>
      </c>
      <c r="C594" s="41"/>
      <c r="D594" s="40"/>
      <c r="E594" s="40"/>
      <c r="F594" s="383" t="s">
        <v>625</v>
      </c>
      <c r="G594" s="384"/>
      <c r="H594" s="43">
        <f t="shared" ref="H594" si="271">H595+H596+H597+H598+H599+H600+H601++H602+H603</f>
        <v>0</v>
      </c>
      <c r="I594" s="43">
        <f>I595+I596+I597+I598+I599+I600+I601++I602+I603</f>
        <v>0</v>
      </c>
      <c r="J594" s="127">
        <f>J595+J596+J597+J598+J599+J600+J601++J602+J603</f>
        <v>0</v>
      </c>
      <c r="K594" s="127">
        <f t="shared" ref="K594:L594" si="272">K595+K596+K597+K598+K599+K600+K601++K602+K603</f>
        <v>0</v>
      </c>
      <c r="L594" s="138">
        <f t="shared" si="272"/>
        <v>0</v>
      </c>
      <c r="O594" s="88">
        <f t="shared" si="259"/>
        <v>0</v>
      </c>
      <c r="P594" s="123" t="str">
        <f t="shared" si="260"/>
        <v/>
      </c>
      <c r="Q594" s="88">
        <f t="shared" si="261"/>
        <v>0</v>
      </c>
      <c r="R594" s="123" t="str">
        <f t="shared" si="262"/>
        <v/>
      </c>
      <c r="S594" s="88">
        <f t="shared" si="263"/>
        <v>0</v>
      </c>
      <c r="T594" s="124" t="str">
        <f t="shared" si="264"/>
        <v/>
      </c>
      <c r="U594" s="88">
        <f t="shared" si="265"/>
        <v>0</v>
      </c>
      <c r="V594" s="124" t="str">
        <f t="shared" si="266"/>
        <v/>
      </c>
      <c r="W594" s="157">
        <f t="shared" si="270"/>
        <v>3</v>
      </c>
    </row>
    <row r="595" spans="1:23" ht="11.25" customHeight="1" x14ac:dyDescent="0.25">
      <c r="A595" s="38" t="s">
        <v>626</v>
      </c>
      <c r="B595" s="282">
        <f t="shared" si="267"/>
        <v>4</v>
      </c>
      <c r="C595" s="38"/>
      <c r="D595" s="22"/>
      <c r="E595" s="22"/>
      <c r="F595" s="385" t="s">
        <v>627</v>
      </c>
      <c r="G595" s="386"/>
      <c r="H595" s="37">
        <v>0</v>
      </c>
      <c r="I595" s="37">
        <v>0</v>
      </c>
      <c r="J595" s="128">
        <v>0</v>
      </c>
      <c r="K595" s="128">
        <v>0</v>
      </c>
      <c r="L595" s="139">
        <v>0</v>
      </c>
      <c r="O595" s="175">
        <f t="shared" si="259"/>
        <v>0</v>
      </c>
      <c r="P595" s="176" t="str">
        <f t="shared" si="260"/>
        <v/>
      </c>
      <c r="Q595" s="175">
        <f t="shared" si="261"/>
        <v>0</v>
      </c>
      <c r="R595" s="176" t="str">
        <f t="shared" si="262"/>
        <v/>
      </c>
      <c r="S595" s="175">
        <f t="shared" si="263"/>
        <v>0</v>
      </c>
      <c r="T595" s="177" t="str">
        <f t="shared" si="264"/>
        <v/>
      </c>
      <c r="U595" s="175">
        <f t="shared" si="265"/>
        <v>0</v>
      </c>
      <c r="V595" s="177" t="str">
        <f t="shared" si="266"/>
        <v/>
      </c>
      <c r="W595" s="157">
        <f t="shared" si="270"/>
        <v>4</v>
      </c>
    </row>
    <row r="596" spans="1:23" ht="11.25" customHeight="1" x14ac:dyDescent="0.25">
      <c r="A596" s="38" t="s">
        <v>628</v>
      </c>
      <c r="B596" s="282">
        <f t="shared" si="267"/>
        <v>4</v>
      </c>
      <c r="C596" s="38"/>
      <c r="D596" s="22"/>
      <c r="E596" s="22"/>
      <c r="F596" s="385" t="s">
        <v>629</v>
      </c>
      <c r="G596" s="386"/>
      <c r="H596" s="37">
        <v>0</v>
      </c>
      <c r="I596" s="37">
        <v>0</v>
      </c>
      <c r="J596" s="128">
        <v>0</v>
      </c>
      <c r="K596" s="128">
        <v>0</v>
      </c>
      <c r="L596" s="139">
        <v>0</v>
      </c>
      <c r="O596" s="175">
        <f t="shared" si="259"/>
        <v>0</v>
      </c>
      <c r="P596" s="176" t="str">
        <f t="shared" si="260"/>
        <v/>
      </c>
      <c r="Q596" s="175">
        <f t="shared" si="261"/>
        <v>0</v>
      </c>
      <c r="R596" s="176" t="str">
        <f t="shared" si="262"/>
        <v/>
      </c>
      <c r="S596" s="175">
        <f t="shared" si="263"/>
        <v>0</v>
      </c>
      <c r="T596" s="177" t="str">
        <f t="shared" si="264"/>
        <v/>
      </c>
      <c r="U596" s="175">
        <f t="shared" si="265"/>
        <v>0</v>
      </c>
      <c r="V596" s="177" t="str">
        <f t="shared" si="266"/>
        <v/>
      </c>
      <c r="W596" s="157">
        <f t="shared" si="270"/>
        <v>4</v>
      </c>
    </row>
    <row r="597" spans="1:23" ht="11.25" customHeight="1" x14ac:dyDescent="0.25">
      <c r="A597" s="38" t="s">
        <v>630</v>
      </c>
      <c r="B597" s="282">
        <f t="shared" si="267"/>
        <v>4</v>
      </c>
      <c r="C597" s="38"/>
      <c r="D597" s="22"/>
      <c r="E597" s="22"/>
      <c r="F597" s="385" t="s">
        <v>631</v>
      </c>
      <c r="G597" s="386"/>
      <c r="H597" s="37">
        <v>0</v>
      </c>
      <c r="I597" s="37">
        <v>0</v>
      </c>
      <c r="J597" s="128">
        <v>0</v>
      </c>
      <c r="K597" s="128">
        <v>0</v>
      </c>
      <c r="L597" s="139">
        <v>0</v>
      </c>
      <c r="O597" s="175">
        <f t="shared" si="259"/>
        <v>0</v>
      </c>
      <c r="P597" s="176" t="str">
        <f t="shared" si="260"/>
        <v/>
      </c>
      <c r="Q597" s="175">
        <f t="shared" si="261"/>
        <v>0</v>
      </c>
      <c r="R597" s="176" t="str">
        <f t="shared" si="262"/>
        <v/>
      </c>
      <c r="S597" s="175">
        <f t="shared" si="263"/>
        <v>0</v>
      </c>
      <c r="T597" s="177" t="str">
        <f t="shared" si="264"/>
        <v/>
      </c>
      <c r="U597" s="175">
        <f t="shared" si="265"/>
        <v>0</v>
      </c>
      <c r="V597" s="177" t="str">
        <f t="shared" si="266"/>
        <v/>
      </c>
      <c r="W597" s="157">
        <f t="shared" si="270"/>
        <v>4</v>
      </c>
    </row>
    <row r="598" spans="1:23" ht="11.25" customHeight="1" x14ac:dyDescent="0.25">
      <c r="A598" s="38" t="s">
        <v>632</v>
      </c>
      <c r="B598" s="282">
        <f t="shared" si="267"/>
        <v>4</v>
      </c>
      <c r="C598" s="38"/>
      <c r="D598" s="22"/>
      <c r="E598" s="22"/>
      <c r="F598" s="385" t="s">
        <v>633</v>
      </c>
      <c r="G598" s="386"/>
      <c r="H598" s="37">
        <v>0</v>
      </c>
      <c r="I598" s="37">
        <v>0</v>
      </c>
      <c r="J598" s="128">
        <v>0</v>
      </c>
      <c r="K598" s="128">
        <v>0</v>
      </c>
      <c r="L598" s="139">
        <v>0</v>
      </c>
      <c r="O598" s="175">
        <f t="shared" si="259"/>
        <v>0</v>
      </c>
      <c r="P598" s="176" t="str">
        <f t="shared" si="260"/>
        <v/>
      </c>
      <c r="Q598" s="175">
        <f t="shared" si="261"/>
        <v>0</v>
      </c>
      <c r="R598" s="176" t="str">
        <f t="shared" si="262"/>
        <v/>
      </c>
      <c r="S598" s="175">
        <f t="shared" si="263"/>
        <v>0</v>
      </c>
      <c r="T598" s="177" t="str">
        <f t="shared" si="264"/>
        <v/>
      </c>
      <c r="U598" s="175">
        <f t="shared" si="265"/>
        <v>0</v>
      </c>
      <c r="V598" s="177" t="str">
        <f t="shared" si="266"/>
        <v/>
      </c>
      <c r="W598" s="157">
        <f t="shared" si="270"/>
        <v>4</v>
      </c>
    </row>
    <row r="599" spans="1:23" ht="11.25" customHeight="1" x14ac:dyDescent="0.25">
      <c r="A599" s="38" t="s">
        <v>634</v>
      </c>
      <c r="B599" s="282">
        <f t="shared" si="267"/>
        <v>4</v>
      </c>
      <c r="C599" s="38"/>
      <c r="D599" s="22"/>
      <c r="E599" s="22"/>
      <c r="F599" s="385" t="s">
        <v>635</v>
      </c>
      <c r="G599" s="386"/>
      <c r="H599" s="37">
        <v>0</v>
      </c>
      <c r="I599" s="37">
        <v>0</v>
      </c>
      <c r="J599" s="128">
        <v>0</v>
      </c>
      <c r="K599" s="128">
        <v>0</v>
      </c>
      <c r="L599" s="139">
        <v>0</v>
      </c>
      <c r="O599" s="175">
        <f t="shared" si="259"/>
        <v>0</v>
      </c>
      <c r="P599" s="176" t="str">
        <f t="shared" si="260"/>
        <v/>
      </c>
      <c r="Q599" s="175">
        <f t="shared" si="261"/>
        <v>0</v>
      </c>
      <c r="R599" s="176" t="str">
        <f t="shared" si="262"/>
        <v/>
      </c>
      <c r="S599" s="175">
        <f t="shared" si="263"/>
        <v>0</v>
      </c>
      <c r="T599" s="177" t="str">
        <f t="shared" si="264"/>
        <v/>
      </c>
      <c r="U599" s="175">
        <f t="shared" si="265"/>
        <v>0</v>
      </c>
      <c r="V599" s="177" t="str">
        <f t="shared" si="266"/>
        <v/>
      </c>
      <c r="W599" s="157">
        <f t="shared" si="270"/>
        <v>4</v>
      </c>
    </row>
    <row r="600" spans="1:23" ht="11.25" customHeight="1" x14ac:dyDescent="0.25">
      <c r="A600" s="38" t="s">
        <v>636</v>
      </c>
      <c r="B600" s="282">
        <f t="shared" si="267"/>
        <v>4</v>
      </c>
      <c r="C600" s="38"/>
      <c r="D600" s="22"/>
      <c r="E600" s="22"/>
      <c r="F600" s="385" t="s">
        <v>637</v>
      </c>
      <c r="G600" s="386"/>
      <c r="H600" s="37">
        <v>0</v>
      </c>
      <c r="I600" s="37">
        <v>0</v>
      </c>
      <c r="J600" s="128">
        <v>0</v>
      </c>
      <c r="K600" s="128">
        <v>0</v>
      </c>
      <c r="L600" s="139">
        <v>0</v>
      </c>
      <c r="O600" s="175">
        <f t="shared" si="259"/>
        <v>0</v>
      </c>
      <c r="P600" s="176" t="str">
        <f t="shared" si="260"/>
        <v/>
      </c>
      <c r="Q600" s="175">
        <f t="shared" si="261"/>
        <v>0</v>
      </c>
      <c r="R600" s="176" t="str">
        <f t="shared" si="262"/>
        <v/>
      </c>
      <c r="S600" s="175">
        <f t="shared" si="263"/>
        <v>0</v>
      </c>
      <c r="T600" s="177" t="str">
        <f t="shared" si="264"/>
        <v/>
      </c>
      <c r="U600" s="175">
        <f t="shared" si="265"/>
        <v>0</v>
      </c>
      <c r="V600" s="177" t="str">
        <f t="shared" si="266"/>
        <v/>
      </c>
      <c r="W600" s="157">
        <f t="shared" si="270"/>
        <v>4</v>
      </c>
    </row>
    <row r="601" spans="1:23" ht="11.25" customHeight="1" x14ac:dyDescent="0.25">
      <c r="A601" s="38" t="s">
        <v>638</v>
      </c>
      <c r="B601" s="282">
        <f t="shared" si="267"/>
        <v>4</v>
      </c>
      <c r="C601" s="38"/>
      <c r="D601" s="22"/>
      <c r="E601" s="22"/>
      <c r="F601" s="385" t="s">
        <v>639</v>
      </c>
      <c r="G601" s="386"/>
      <c r="H601" s="37">
        <v>0</v>
      </c>
      <c r="I601" s="37">
        <v>0</v>
      </c>
      <c r="J601" s="128">
        <v>0</v>
      </c>
      <c r="K601" s="128">
        <v>0</v>
      </c>
      <c r="L601" s="139">
        <v>0</v>
      </c>
      <c r="O601" s="175">
        <f t="shared" si="259"/>
        <v>0</v>
      </c>
      <c r="P601" s="176" t="str">
        <f t="shared" si="260"/>
        <v/>
      </c>
      <c r="Q601" s="175">
        <f t="shared" si="261"/>
        <v>0</v>
      </c>
      <c r="R601" s="176" t="str">
        <f t="shared" si="262"/>
        <v/>
      </c>
      <c r="S601" s="175">
        <f t="shared" si="263"/>
        <v>0</v>
      </c>
      <c r="T601" s="177" t="str">
        <f t="shared" si="264"/>
        <v/>
      </c>
      <c r="U601" s="175">
        <f t="shared" si="265"/>
        <v>0</v>
      </c>
      <c r="V601" s="177" t="str">
        <f t="shared" si="266"/>
        <v/>
      </c>
      <c r="W601" s="157">
        <f t="shared" si="270"/>
        <v>4</v>
      </c>
    </row>
    <row r="602" spans="1:23" ht="11.25" customHeight="1" x14ac:dyDescent="0.25">
      <c r="A602" s="38" t="s">
        <v>640</v>
      </c>
      <c r="B602" s="282">
        <f t="shared" si="267"/>
        <v>4</v>
      </c>
      <c r="C602" s="38"/>
      <c r="D602" s="22"/>
      <c r="E602" s="22"/>
      <c r="F602" s="385" t="s">
        <v>641</v>
      </c>
      <c r="G602" s="386"/>
      <c r="H602" s="37">
        <v>0</v>
      </c>
      <c r="I602" s="37">
        <v>0</v>
      </c>
      <c r="J602" s="128">
        <v>0</v>
      </c>
      <c r="K602" s="128">
        <v>0</v>
      </c>
      <c r="L602" s="139">
        <v>0</v>
      </c>
      <c r="O602" s="175">
        <f t="shared" si="259"/>
        <v>0</v>
      </c>
      <c r="P602" s="176" t="str">
        <f t="shared" si="260"/>
        <v/>
      </c>
      <c r="Q602" s="175">
        <f t="shared" si="261"/>
        <v>0</v>
      </c>
      <c r="R602" s="176" t="str">
        <f t="shared" si="262"/>
        <v/>
      </c>
      <c r="S602" s="175">
        <f t="shared" si="263"/>
        <v>0</v>
      </c>
      <c r="T602" s="177" t="str">
        <f t="shared" si="264"/>
        <v/>
      </c>
      <c r="U602" s="175">
        <f t="shared" si="265"/>
        <v>0</v>
      </c>
      <c r="V602" s="177" t="str">
        <f t="shared" si="266"/>
        <v/>
      </c>
      <c r="W602" s="157">
        <f t="shared" si="270"/>
        <v>4</v>
      </c>
    </row>
    <row r="603" spans="1:23" ht="11.25" customHeight="1" x14ac:dyDescent="0.25">
      <c r="A603" s="38" t="s">
        <v>642</v>
      </c>
      <c r="B603" s="282">
        <f t="shared" si="267"/>
        <v>4</v>
      </c>
      <c r="C603" s="38"/>
      <c r="D603" s="22"/>
      <c r="E603" s="22"/>
      <c r="F603" s="385" t="s">
        <v>643</v>
      </c>
      <c r="G603" s="386"/>
      <c r="H603" s="37">
        <v>0</v>
      </c>
      <c r="I603" s="37">
        <v>0</v>
      </c>
      <c r="J603" s="128">
        <v>0</v>
      </c>
      <c r="K603" s="128">
        <v>0</v>
      </c>
      <c r="L603" s="139">
        <v>0</v>
      </c>
      <c r="O603" s="175">
        <f t="shared" si="259"/>
        <v>0</v>
      </c>
      <c r="P603" s="176" t="str">
        <f t="shared" si="260"/>
        <v/>
      </c>
      <c r="Q603" s="175">
        <f t="shared" si="261"/>
        <v>0</v>
      </c>
      <c r="R603" s="176" t="str">
        <f t="shared" si="262"/>
        <v/>
      </c>
      <c r="S603" s="175">
        <f t="shared" si="263"/>
        <v>0</v>
      </c>
      <c r="T603" s="177" t="str">
        <f t="shared" si="264"/>
        <v/>
      </c>
      <c r="U603" s="175">
        <f t="shared" si="265"/>
        <v>0</v>
      </c>
      <c r="V603" s="177" t="str">
        <f t="shared" si="266"/>
        <v/>
      </c>
      <c r="W603" s="157">
        <f t="shared" si="270"/>
        <v>4</v>
      </c>
    </row>
    <row r="604" spans="1:23" ht="11.25" customHeight="1" x14ac:dyDescent="0.25">
      <c r="A604" s="41" t="s">
        <v>644</v>
      </c>
      <c r="B604" s="282">
        <f t="shared" si="267"/>
        <v>3</v>
      </c>
      <c r="C604" s="41"/>
      <c r="D604" s="40"/>
      <c r="E604" s="40"/>
      <c r="F604" s="383" t="s">
        <v>645</v>
      </c>
      <c r="G604" s="384"/>
      <c r="H604" s="43">
        <f t="shared" ref="H604" si="273">H605+H610+H611+H612+H613+H614+H615+H616+H617</f>
        <v>-48844070</v>
      </c>
      <c r="I604" s="43">
        <f>I605+I610+I611+I612+I613+I614+I615+I616+I617</f>
        <v>-41891480</v>
      </c>
      <c r="J604" s="127">
        <f>J605+J610+J611+J612+J613+J614+J615+J616+J617</f>
        <v>-20000000</v>
      </c>
      <c r="K604" s="331">
        <f>K605+K610+K611+K612+K613+K614+K615+K616+K617</f>
        <v>-38759200</v>
      </c>
      <c r="L604" s="138">
        <f>L605+L610+L611+L612+L613+L614+L615+L616+L617</f>
        <v>-7500000</v>
      </c>
      <c r="O604" s="88">
        <f t="shared" si="259"/>
        <v>-12500000</v>
      </c>
      <c r="P604" s="123">
        <f t="shared" si="260"/>
        <v>0.375</v>
      </c>
      <c r="Q604" s="88">
        <f t="shared" si="261"/>
        <v>-34391480</v>
      </c>
      <c r="R604" s="123">
        <f t="shared" si="262"/>
        <v>0.17903401837318711</v>
      </c>
      <c r="S604" s="88">
        <f t="shared" si="263"/>
        <v>-31259200</v>
      </c>
      <c r="T604" s="124">
        <f t="shared" si="264"/>
        <v>0.19350244587091581</v>
      </c>
      <c r="U604" s="88">
        <f t="shared" si="265"/>
        <v>-3132280</v>
      </c>
      <c r="V604" s="124">
        <f t="shared" si="266"/>
        <v>0.92522870999067108</v>
      </c>
      <c r="W604" s="157">
        <f t="shared" si="270"/>
        <v>3</v>
      </c>
    </row>
    <row r="605" spans="1:23" ht="11.25" customHeight="1" x14ac:dyDescent="0.25">
      <c r="A605" s="38" t="s">
        <v>646</v>
      </c>
      <c r="B605" s="282">
        <f t="shared" si="267"/>
        <v>4</v>
      </c>
      <c r="C605" s="38"/>
      <c r="D605" s="22"/>
      <c r="E605" s="22"/>
      <c r="F605" s="385" t="s">
        <v>647</v>
      </c>
      <c r="G605" s="386"/>
      <c r="H605" s="37">
        <f t="shared" ref="H605" si="274">+H606</f>
        <v>-48844070</v>
      </c>
      <c r="I605" s="37">
        <f>+I606</f>
        <v>-41891480</v>
      </c>
      <c r="J605" s="128">
        <f>+J606</f>
        <v>-20000000</v>
      </c>
      <c r="K605" s="128">
        <f>+K606</f>
        <v>-38759200</v>
      </c>
      <c r="L605" s="139">
        <v>-7500000</v>
      </c>
      <c r="O605" s="175">
        <f t="shared" si="259"/>
        <v>-12500000</v>
      </c>
      <c r="P605" s="176">
        <f t="shared" si="260"/>
        <v>0.375</v>
      </c>
      <c r="Q605" s="175">
        <f t="shared" si="261"/>
        <v>-34391480</v>
      </c>
      <c r="R605" s="176">
        <f t="shared" si="262"/>
        <v>0.17903401837318711</v>
      </c>
      <c r="S605" s="175">
        <f t="shared" si="263"/>
        <v>-31259200</v>
      </c>
      <c r="T605" s="177">
        <f t="shared" si="264"/>
        <v>0.19350244587091581</v>
      </c>
      <c r="U605" s="175">
        <f t="shared" si="265"/>
        <v>-3132280</v>
      </c>
      <c r="V605" s="177">
        <f t="shared" si="266"/>
        <v>0.92522870999067108</v>
      </c>
      <c r="W605" s="157">
        <f t="shared" si="270"/>
        <v>4</v>
      </c>
    </row>
    <row r="606" spans="1:23" ht="11.25" customHeight="1" x14ac:dyDescent="0.25">
      <c r="A606" s="26" t="s">
        <v>1457</v>
      </c>
      <c r="B606" s="282">
        <f t="shared" si="267"/>
        <v>7</v>
      </c>
      <c r="C606" s="26"/>
      <c r="D606" s="23"/>
      <c r="E606" s="23"/>
      <c r="F606" s="379" t="s">
        <v>648</v>
      </c>
      <c r="G606" s="380"/>
      <c r="H606" s="25">
        <f t="shared" ref="H606" si="275">SUM(H607:H609)</f>
        <v>-48844070</v>
      </c>
      <c r="I606" s="25">
        <f>SUM(I607:I609)</f>
        <v>-41891480</v>
      </c>
      <c r="J606" s="129">
        <f>SUM(J607:J609)</f>
        <v>-20000000</v>
      </c>
      <c r="K606" s="129">
        <f>SUM(K607:K609)</f>
        <v>-38759200</v>
      </c>
      <c r="L606" s="140">
        <v>-7500000</v>
      </c>
      <c r="O606" s="88">
        <f t="shared" si="259"/>
        <v>-12500000</v>
      </c>
      <c r="P606" s="123">
        <f t="shared" si="260"/>
        <v>0.375</v>
      </c>
      <c r="Q606" s="88">
        <f t="shared" si="261"/>
        <v>-34391480</v>
      </c>
      <c r="R606" s="123">
        <f t="shared" si="262"/>
        <v>0.17903401837318711</v>
      </c>
      <c r="S606" s="88">
        <f t="shared" si="263"/>
        <v>-31259200</v>
      </c>
      <c r="T606" s="124">
        <f t="shared" si="264"/>
        <v>0.19350244587091581</v>
      </c>
      <c r="U606" s="88">
        <f t="shared" si="265"/>
        <v>-3132280</v>
      </c>
      <c r="V606" s="124">
        <f t="shared" si="266"/>
        <v>0.92522870999067108</v>
      </c>
      <c r="W606" s="157">
        <f t="shared" si="270"/>
        <v>7</v>
      </c>
    </row>
    <row r="607" spans="1:23" ht="11.25" customHeight="1" x14ac:dyDescent="0.25">
      <c r="A607" s="42" t="s">
        <v>1458</v>
      </c>
      <c r="B607" s="282">
        <f t="shared" si="267"/>
        <v>11</v>
      </c>
      <c r="C607" s="14"/>
      <c r="D607" s="13"/>
      <c r="E607" s="13"/>
      <c r="F607" s="373" t="s">
        <v>649</v>
      </c>
      <c r="G607" s="374"/>
      <c r="H607" s="11">
        <v>-46429280</v>
      </c>
      <c r="I607" s="11">
        <v>-52124570</v>
      </c>
      <c r="J607" s="336">
        <v>0</v>
      </c>
      <c r="K607" s="130">
        <v>-42430900</v>
      </c>
      <c r="L607" s="141"/>
      <c r="O607" s="88">
        <f t="shared" si="259"/>
        <v>0</v>
      </c>
      <c r="P607" s="123" t="str">
        <f t="shared" si="260"/>
        <v/>
      </c>
      <c r="Q607" s="88">
        <f t="shared" si="261"/>
        <v>-52124570</v>
      </c>
      <c r="R607" s="123">
        <f t="shared" si="262"/>
        <v>0</v>
      </c>
      <c r="S607" s="88">
        <f t="shared" si="263"/>
        <v>-42430900</v>
      </c>
      <c r="T607" s="124">
        <f t="shared" si="264"/>
        <v>0</v>
      </c>
      <c r="U607" s="88">
        <f t="shared" si="265"/>
        <v>-9693670</v>
      </c>
      <c r="V607" s="124">
        <f t="shared" si="266"/>
        <v>0.8140287775995082</v>
      </c>
      <c r="W607" s="157">
        <f t="shared" si="270"/>
        <v>11</v>
      </c>
    </row>
    <row r="608" spans="1:23" ht="11.25" customHeight="1" x14ac:dyDescent="0.25">
      <c r="A608" s="42" t="s">
        <v>1459</v>
      </c>
      <c r="B608" s="282">
        <f t="shared" si="267"/>
        <v>11</v>
      </c>
      <c r="C608" s="14"/>
      <c r="D608" s="13"/>
      <c r="E608" s="13"/>
      <c r="F608" s="373" t="s">
        <v>650</v>
      </c>
      <c r="G608" s="374"/>
      <c r="H608" s="11">
        <v>50710000</v>
      </c>
      <c r="I608" s="11">
        <v>53124790</v>
      </c>
      <c r="J608" s="336">
        <v>0</v>
      </c>
      <c r="K608" s="130">
        <v>42891700</v>
      </c>
      <c r="L608" s="141"/>
      <c r="O608" s="88">
        <f t="shared" si="259"/>
        <v>0</v>
      </c>
      <c r="P608" s="123" t="str">
        <f t="shared" si="260"/>
        <v/>
      </c>
      <c r="Q608" s="88">
        <f t="shared" si="261"/>
        <v>53124790</v>
      </c>
      <c r="R608" s="123">
        <f t="shared" si="262"/>
        <v>0</v>
      </c>
      <c r="S608" s="88">
        <f t="shared" si="263"/>
        <v>42891700</v>
      </c>
      <c r="T608" s="124">
        <f t="shared" si="264"/>
        <v>0</v>
      </c>
      <c r="U608" s="88">
        <f t="shared" si="265"/>
        <v>10233090</v>
      </c>
      <c r="V608" s="124">
        <f t="shared" si="266"/>
        <v>0.80737636798187817</v>
      </c>
      <c r="W608" s="157">
        <f t="shared" si="270"/>
        <v>11</v>
      </c>
    </row>
    <row r="609" spans="1:23" ht="11.25" customHeight="1" x14ac:dyDescent="0.25">
      <c r="A609" s="42" t="s">
        <v>1460</v>
      </c>
      <c r="B609" s="282">
        <f t="shared" si="267"/>
        <v>11</v>
      </c>
      <c r="C609" s="27" t="s">
        <v>916</v>
      </c>
      <c r="D609" s="28" t="s">
        <v>923</v>
      </c>
      <c r="E609" s="28" t="s">
        <v>917</v>
      </c>
      <c r="F609" s="373" t="s">
        <v>1684</v>
      </c>
      <c r="G609" s="374"/>
      <c r="H609" s="11">
        <v>-53124790</v>
      </c>
      <c r="I609" s="11">
        <v>-42891700</v>
      </c>
      <c r="J609" s="336">
        <v>-20000000</v>
      </c>
      <c r="K609" s="130">
        <v>-39220000</v>
      </c>
      <c r="L609" s="141">
        <v>-7500000</v>
      </c>
      <c r="O609" s="88">
        <f t="shared" si="259"/>
        <v>-12500000</v>
      </c>
      <c r="P609" s="123">
        <f t="shared" si="260"/>
        <v>0.375</v>
      </c>
      <c r="Q609" s="88">
        <f t="shared" si="261"/>
        <v>-35391700</v>
      </c>
      <c r="R609" s="123">
        <f t="shared" si="262"/>
        <v>0.17485900535534846</v>
      </c>
      <c r="S609" s="88">
        <f t="shared" si="263"/>
        <v>-31720000</v>
      </c>
      <c r="T609" s="124">
        <f t="shared" si="264"/>
        <v>0.19122896481387047</v>
      </c>
      <c r="U609" s="88">
        <f t="shared" si="265"/>
        <v>-3671700</v>
      </c>
      <c r="V609" s="124">
        <f t="shared" si="266"/>
        <v>0.91439602533823561</v>
      </c>
      <c r="W609" s="157">
        <f t="shared" si="270"/>
        <v>11</v>
      </c>
    </row>
    <row r="610" spans="1:23" ht="11.25" customHeight="1" x14ac:dyDescent="0.25">
      <c r="A610" s="38" t="s">
        <v>651</v>
      </c>
      <c r="B610" s="282">
        <f t="shared" si="267"/>
        <v>4</v>
      </c>
      <c r="C610" s="38"/>
      <c r="D610" s="22"/>
      <c r="E610" s="22"/>
      <c r="F610" s="385" t="s">
        <v>652</v>
      </c>
      <c r="G610" s="386"/>
      <c r="H610" s="37">
        <v>0</v>
      </c>
      <c r="I610" s="37">
        <v>0</v>
      </c>
      <c r="J610" s="128">
        <v>0</v>
      </c>
      <c r="K610" s="128">
        <v>0</v>
      </c>
      <c r="L610" s="139">
        <v>0</v>
      </c>
      <c r="O610" s="175">
        <f t="shared" si="259"/>
        <v>0</v>
      </c>
      <c r="P610" s="176" t="str">
        <f t="shared" si="260"/>
        <v/>
      </c>
      <c r="Q610" s="175">
        <f t="shared" si="261"/>
        <v>0</v>
      </c>
      <c r="R610" s="176" t="str">
        <f t="shared" si="262"/>
        <v/>
      </c>
      <c r="S610" s="175">
        <f t="shared" si="263"/>
        <v>0</v>
      </c>
      <c r="T610" s="177" t="str">
        <f t="shared" si="264"/>
        <v/>
      </c>
      <c r="U610" s="175">
        <f t="shared" si="265"/>
        <v>0</v>
      </c>
      <c r="V610" s="177" t="str">
        <f t="shared" si="266"/>
        <v/>
      </c>
      <c r="W610" s="157">
        <f t="shared" si="270"/>
        <v>4</v>
      </c>
    </row>
    <row r="611" spans="1:23" ht="11.25" customHeight="1" x14ac:dyDescent="0.25">
      <c r="A611" s="38" t="s">
        <v>653</v>
      </c>
      <c r="B611" s="282">
        <f t="shared" si="267"/>
        <v>4</v>
      </c>
      <c r="C611" s="38"/>
      <c r="D611" s="22"/>
      <c r="E611" s="22"/>
      <c r="F611" s="385" t="s">
        <v>654</v>
      </c>
      <c r="G611" s="386"/>
      <c r="H611" s="37">
        <v>0</v>
      </c>
      <c r="I611" s="37">
        <v>0</v>
      </c>
      <c r="J611" s="128">
        <v>0</v>
      </c>
      <c r="K611" s="128">
        <v>0</v>
      </c>
      <c r="L611" s="139">
        <v>0</v>
      </c>
      <c r="O611" s="175">
        <f t="shared" si="259"/>
        <v>0</v>
      </c>
      <c r="P611" s="176" t="str">
        <f t="shared" si="260"/>
        <v/>
      </c>
      <c r="Q611" s="175">
        <f t="shared" si="261"/>
        <v>0</v>
      </c>
      <c r="R611" s="176" t="str">
        <f t="shared" si="262"/>
        <v/>
      </c>
      <c r="S611" s="175">
        <f t="shared" si="263"/>
        <v>0</v>
      </c>
      <c r="T611" s="177" t="str">
        <f t="shared" si="264"/>
        <v/>
      </c>
      <c r="U611" s="175">
        <f t="shared" si="265"/>
        <v>0</v>
      </c>
      <c r="V611" s="177" t="str">
        <f t="shared" si="266"/>
        <v/>
      </c>
      <c r="W611" s="157">
        <f t="shared" si="270"/>
        <v>4</v>
      </c>
    </row>
    <row r="612" spans="1:23" ht="11.25" customHeight="1" x14ac:dyDescent="0.25">
      <c r="A612" s="38" t="s">
        <v>655</v>
      </c>
      <c r="B612" s="282">
        <f t="shared" si="267"/>
        <v>4</v>
      </c>
      <c r="C612" s="38"/>
      <c r="D612" s="22"/>
      <c r="E612" s="22"/>
      <c r="F612" s="385" t="s">
        <v>656</v>
      </c>
      <c r="G612" s="386"/>
      <c r="H612" s="37">
        <v>0</v>
      </c>
      <c r="I612" s="37">
        <v>0</v>
      </c>
      <c r="J612" s="128">
        <v>0</v>
      </c>
      <c r="K612" s="128">
        <v>0</v>
      </c>
      <c r="L612" s="139">
        <v>0</v>
      </c>
      <c r="O612" s="175">
        <f t="shared" si="259"/>
        <v>0</v>
      </c>
      <c r="P612" s="176" t="str">
        <f t="shared" si="260"/>
        <v/>
      </c>
      <c r="Q612" s="175">
        <f t="shared" si="261"/>
        <v>0</v>
      </c>
      <c r="R612" s="176" t="str">
        <f t="shared" si="262"/>
        <v/>
      </c>
      <c r="S612" s="175">
        <f t="shared" si="263"/>
        <v>0</v>
      </c>
      <c r="T612" s="177" t="str">
        <f t="shared" si="264"/>
        <v/>
      </c>
      <c r="U612" s="175">
        <f t="shared" si="265"/>
        <v>0</v>
      </c>
      <c r="V612" s="177" t="str">
        <f t="shared" si="266"/>
        <v/>
      </c>
      <c r="W612" s="157">
        <f t="shared" si="270"/>
        <v>4</v>
      </c>
    </row>
    <row r="613" spans="1:23" ht="11.25" customHeight="1" x14ac:dyDescent="0.25">
      <c r="A613" s="38" t="s">
        <v>657</v>
      </c>
      <c r="B613" s="282">
        <f t="shared" si="267"/>
        <v>4</v>
      </c>
      <c r="C613" s="38"/>
      <c r="D613" s="22"/>
      <c r="E613" s="22"/>
      <c r="F613" s="385" t="s">
        <v>658</v>
      </c>
      <c r="G613" s="386"/>
      <c r="H613" s="37">
        <v>0</v>
      </c>
      <c r="I613" s="37">
        <v>0</v>
      </c>
      <c r="J613" s="128">
        <v>0</v>
      </c>
      <c r="K613" s="128">
        <v>0</v>
      </c>
      <c r="L613" s="139">
        <v>0</v>
      </c>
      <c r="O613" s="175">
        <f t="shared" si="259"/>
        <v>0</v>
      </c>
      <c r="P613" s="176" t="str">
        <f t="shared" si="260"/>
        <v/>
      </c>
      <c r="Q613" s="175">
        <f t="shared" si="261"/>
        <v>0</v>
      </c>
      <c r="R613" s="176" t="str">
        <f t="shared" si="262"/>
        <v/>
      </c>
      <c r="S613" s="175">
        <f t="shared" si="263"/>
        <v>0</v>
      </c>
      <c r="T613" s="177" t="str">
        <f t="shared" si="264"/>
        <v/>
      </c>
      <c r="U613" s="175">
        <f t="shared" si="265"/>
        <v>0</v>
      </c>
      <c r="V613" s="177" t="str">
        <f t="shared" si="266"/>
        <v/>
      </c>
      <c r="W613" s="157">
        <f t="shared" si="270"/>
        <v>4</v>
      </c>
    </row>
    <row r="614" spans="1:23" ht="11.25" customHeight="1" x14ac:dyDescent="0.25">
      <c r="A614" s="38" t="s">
        <v>659</v>
      </c>
      <c r="B614" s="282">
        <f t="shared" si="267"/>
        <v>4</v>
      </c>
      <c r="C614" s="38"/>
      <c r="D614" s="22"/>
      <c r="E614" s="22"/>
      <c r="F614" s="385" t="s">
        <v>660</v>
      </c>
      <c r="G614" s="386"/>
      <c r="H614" s="37">
        <v>0</v>
      </c>
      <c r="I614" s="37">
        <v>0</v>
      </c>
      <c r="J614" s="128">
        <v>0</v>
      </c>
      <c r="K614" s="128">
        <v>0</v>
      </c>
      <c r="L614" s="139">
        <v>0</v>
      </c>
      <c r="O614" s="175">
        <f t="shared" si="259"/>
        <v>0</v>
      </c>
      <c r="P614" s="176" t="str">
        <f t="shared" si="260"/>
        <v/>
      </c>
      <c r="Q614" s="175">
        <f t="shared" si="261"/>
        <v>0</v>
      </c>
      <c r="R614" s="176" t="str">
        <f t="shared" si="262"/>
        <v/>
      </c>
      <c r="S614" s="175">
        <f t="shared" si="263"/>
        <v>0</v>
      </c>
      <c r="T614" s="177" t="str">
        <f t="shared" si="264"/>
        <v/>
      </c>
      <c r="U614" s="175">
        <f t="shared" si="265"/>
        <v>0</v>
      </c>
      <c r="V614" s="177" t="str">
        <f t="shared" si="266"/>
        <v/>
      </c>
      <c r="W614" s="157">
        <f t="shared" si="270"/>
        <v>4</v>
      </c>
    </row>
    <row r="615" spans="1:23" ht="11.25" customHeight="1" x14ac:dyDescent="0.25">
      <c r="A615" s="38" t="s">
        <v>661</v>
      </c>
      <c r="B615" s="282">
        <f t="shared" si="267"/>
        <v>4</v>
      </c>
      <c r="C615" s="38"/>
      <c r="D615" s="22"/>
      <c r="E615" s="22"/>
      <c r="F615" s="385" t="s">
        <v>662</v>
      </c>
      <c r="G615" s="386"/>
      <c r="H615" s="37">
        <v>0</v>
      </c>
      <c r="I615" s="37">
        <v>0</v>
      </c>
      <c r="J615" s="128">
        <v>0</v>
      </c>
      <c r="K615" s="128">
        <v>0</v>
      </c>
      <c r="L615" s="139">
        <v>0</v>
      </c>
      <c r="O615" s="175">
        <f t="shared" si="259"/>
        <v>0</v>
      </c>
      <c r="P615" s="176" t="str">
        <f t="shared" si="260"/>
        <v/>
      </c>
      <c r="Q615" s="175">
        <f t="shared" si="261"/>
        <v>0</v>
      </c>
      <c r="R615" s="176" t="str">
        <f t="shared" si="262"/>
        <v/>
      </c>
      <c r="S615" s="175">
        <f t="shared" si="263"/>
        <v>0</v>
      </c>
      <c r="T615" s="177" t="str">
        <f t="shared" si="264"/>
        <v/>
      </c>
      <c r="U615" s="175">
        <f t="shared" si="265"/>
        <v>0</v>
      </c>
      <c r="V615" s="177" t="str">
        <f t="shared" si="266"/>
        <v/>
      </c>
      <c r="W615" s="157">
        <f t="shared" si="270"/>
        <v>4</v>
      </c>
    </row>
    <row r="616" spans="1:23" ht="11.25" customHeight="1" x14ac:dyDescent="0.25">
      <c r="A616" s="38" t="s">
        <v>663</v>
      </c>
      <c r="B616" s="282">
        <f t="shared" si="267"/>
        <v>4</v>
      </c>
      <c r="C616" s="38"/>
      <c r="D616" s="22"/>
      <c r="E616" s="22"/>
      <c r="F616" s="385" t="s">
        <v>664</v>
      </c>
      <c r="G616" s="386"/>
      <c r="H616" s="37">
        <v>0</v>
      </c>
      <c r="I616" s="37">
        <v>0</v>
      </c>
      <c r="J616" s="128">
        <v>0</v>
      </c>
      <c r="K616" s="128">
        <v>0</v>
      </c>
      <c r="L616" s="139">
        <v>0</v>
      </c>
      <c r="O616" s="175">
        <f t="shared" si="259"/>
        <v>0</v>
      </c>
      <c r="P616" s="176" t="str">
        <f t="shared" si="260"/>
        <v/>
      </c>
      <c r="Q616" s="175">
        <f t="shared" si="261"/>
        <v>0</v>
      </c>
      <c r="R616" s="176" t="str">
        <f t="shared" si="262"/>
        <v/>
      </c>
      <c r="S616" s="175">
        <f t="shared" si="263"/>
        <v>0</v>
      </c>
      <c r="T616" s="177" t="str">
        <f t="shared" si="264"/>
        <v/>
      </c>
      <c r="U616" s="175">
        <f t="shared" si="265"/>
        <v>0</v>
      </c>
      <c r="V616" s="177" t="str">
        <f t="shared" si="266"/>
        <v/>
      </c>
      <c r="W616" s="157">
        <f t="shared" si="270"/>
        <v>4</v>
      </c>
    </row>
    <row r="617" spans="1:23" ht="11.25" customHeight="1" x14ac:dyDescent="0.25">
      <c r="A617" s="38" t="s">
        <v>665</v>
      </c>
      <c r="B617" s="282">
        <f t="shared" si="267"/>
        <v>4</v>
      </c>
      <c r="C617" s="38"/>
      <c r="D617" s="22"/>
      <c r="E617" s="22"/>
      <c r="F617" s="385" t="s">
        <v>666</v>
      </c>
      <c r="G617" s="386"/>
      <c r="H617" s="37">
        <v>0</v>
      </c>
      <c r="I617" s="37">
        <v>0</v>
      </c>
      <c r="J617" s="128">
        <v>0</v>
      </c>
      <c r="K617" s="128">
        <v>0</v>
      </c>
      <c r="L617" s="139">
        <v>0</v>
      </c>
      <c r="O617" s="175">
        <f t="shared" si="259"/>
        <v>0</v>
      </c>
      <c r="P617" s="176" t="str">
        <f t="shared" si="260"/>
        <v/>
      </c>
      <c r="Q617" s="175">
        <f t="shared" si="261"/>
        <v>0</v>
      </c>
      <c r="R617" s="176" t="str">
        <f t="shared" si="262"/>
        <v/>
      </c>
      <c r="S617" s="175">
        <f t="shared" si="263"/>
        <v>0</v>
      </c>
      <c r="T617" s="177" t="str">
        <f t="shared" si="264"/>
        <v/>
      </c>
      <c r="U617" s="175">
        <f t="shared" si="265"/>
        <v>0</v>
      </c>
      <c r="V617" s="177" t="str">
        <f t="shared" si="266"/>
        <v/>
      </c>
      <c r="W617" s="157">
        <f t="shared" si="270"/>
        <v>4</v>
      </c>
    </row>
    <row r="618" spans="1:23" s="266" customFormat="1" ht="15" customHeight="1" x14ac:dyDescent="0.25">
      <c r="A618" s="258" t="s">
        <v>667</v>
      </c>
      <c r="B618" s="282">
        <f t="shared" si="267"/>
        <v>2</v>
      </c>
      <c r="C618" s="258"/>
      <c r="D618" s="259"/>
      <c r="E618" s="259"/>
      <c r="F618" s="389" t="s">
        <v>668</v>
      </c>
      <c r="G618" s="390"/>
      <c r="H618" s="260">
        <f>H619+H707+H709+H714+H794+H797+H813+H829+H834</f>
        <v>5951585513.2200012</v>
      </c>
      <c r="I618" s="260">
        <f>I619+I707+I709+I714+I794+I797+I813+I829+I834</f>
        <v>6702755427.2400122</v>
      </c>
      <c r="J618" s="261">
        <f>J619+J707+J709+J714+J794+J797+J813+J829+J834</f>
        <v>7003666287.1932421</v>
      </c>
      <c r="K618" s="261">
        <f>K619+K707+K709+K714+K794+K797+K813+K829+K834</f>
        <v>7378050937.6300001</v>
      </c>
      <c r="L618" s="262">
        <f>L619+L707+L709+L714+L794+L797+L813+L829+L834</f>
        <v>7718184108.2414999</v>
      </c>
      <c r="M618" s="263"/>
      <c r="N618" s="263"/>
      <c r="O618" s="263">
        <f t="shared" ref="O618:O681" si="276">+L618-J618</f>
        <v>714517821.04825783</v>
      </c>
      <c r="P618" s="264">
        <f t="shared" si="260"/>
        <v>1.1020205406352399</v>
      </c>
      <c r="Q618" s="263">
        <f t="shared" ref="Q618:Q681" si="277">+L618-I618</f>
        <v>1015428681.0014877</v>
      </c>
      <c r="R618" s="264">
        <f t="shared" si="262"/>
        <v>1.1514942163747739</v>
      </c>
      <c r="S618" s="263">
        <f t="shared" si="263"/>
        <v>-340133170.61149979</v>
      </c>
      <c r="T618" s="265">
        <f t="shared" si="264"/>
        <v>1.0461006807199895</v>
      </c>
      <c r="U618" s="265"/>
      <c r="V618" s="265"/>
      <c r="W618" s="266">
        <f t="shared" si="270"/>
        <v>2</v>
      </c>
    </row>
    <row r="619" spans="1:23" s="266" customFormat="1" ht="15" customHeight="1" x14ac:dyDescent="0.25">
      <c r="A619" s="267" t="s">
        <v>669</v>
      </c>
      <c r="B619" s="282">
        <f t="shared" si="267"/>
        <v>3</v>
      </c>
      <c r="C619" s="267"/>
      <c r="D619" s="268"/>
      <c r="E619" s="268"/>
      <c r="F619" s="391" t="s">
        <v>1954</v>
      </c>
      <c r="G619" s="392"/>
      <c r="H619" s="269">
        <f t="shared" ref="H619:L619" si="278">H620+H621+H673+H696+H704</f>
        <v>5712012804.5200005</v>
      </c>
      <c r="I619" s="269">
        <f t="shared" si="278"/>
        <v>6273087326.7900114</v>
      </c>
      <c r="J619" s="270">
        <f t="shared" si="278"/>
        <v>6603246878.1679716</v>
      </c>
      <c r="K619" s="270">
        <f t="shared" si="278"/>
        <v>6915308390.6700001</v>
      </c>
      <c r="L619" s="271">
        <f t="shared" si="278"/>
        <v>7316258588.2414999</v>
      </c>
      <c r="M619" s="263"/>
      <c r="N619" s="263"/>
      <c r="O619" s="263">
        <f t="shared" si="276"/>
        <v>713011710.07352829</v>
      </c>
      <c r="P619" s="264">
        <f t="shared" si="260"/>
        <v>1.1079789569023881</v>
      </c>
      <c r="Q619" s="263">
        <f t="shared" si="277"/>
        <v>1043171261.4514885</v>
      </c>
      <c r="R619" s="264">
        <f t="shared" si="262"/>
        <v>1.1662931196568067</v>
      </c>
      <c r="S619" s="263">
        <f t="shared" si="263"/>
        <v>-400950197.57149982</v>
      </c>
      <c r="T619" s="265">
        <f t="shared" si="264"/>
        <v>1.0579800892339746</v>
      </c>
      <c r="U619" s="265"/>
      <c r="V619" s="265"/>
      <c r="W619" s="266">
        <f t="shared" si="270"/>
        <v>3</v>
      </c>
    </row>
    <row r="620" spans="1:23" s="266" customFormat="1" ht="15" customHeight="1" x14ac:dyDescent="0.25">
      <c r="A620" s="272" t="s">
        <v>671</v>
      </c>
      <c r="B620" s="282">
        <f t="shared" si="267"/>
        <v>4</v>
      </c>
      <c r="C620" s="272"/>
      <c r="D620" s="273"/>
      <c r="E620" s="273"/>
      <c r="F620" s="393" t="s">
        <v>1955</v>
      </c>
      <c r="G620" s="394"/>
      <c r="H620" s="274">
        <v>0</v>
      </c>
      <c r="I620" s="274">
        <v>0</v>
      </c>
      <c r="J620" s="280">
        <v>0</v>
      </c>
      <c r="K620" s="275">
        <v>0</v>
      </c>
      <c r="L620" s="276">
        <f t="shared" ref="L620" si="279">(K620/8)*12</f>
        <v>0</v>
      </c>
      <c r="M620" s="263"/>
      <c r="N620" s="263"/>
      <c r="O620" s="277">
        <f t="shared" si="276"/>
        <v>0</v>
      </c>
      <c r="P620" s="278" t="str">
        <f t="shared" si="260"/>
        <v/>
      </c>
      <c r="Q620" s="277">
        <f t="shared" si="277"/>
        <v>0</v>
      </c>
      <c r="R620" s="278" t="str">
        <f t="shared" si="262"/>
        <v/>
      </c>
      <c r="S620" s="277">
        <f t="shared" si="263"/>
        <v>0</v>
      </c>
      <c r="T620" s="279" t="str">
        <f t="shared" si="264"/>
        <v/>
      </c>
      <c r="U620" s="279"/>
      <c r="V620" s="279"/>
      <c r="W620" s="266">
        <f t="shared" si="270"/>
        <v>4</v>
      </c>
    </row>
    <row r="621" spans="1:23" s="266" customFormat="1" ht="15" customHeight="1" x14ac:dyDescent="0.25">
      <c r="A621" s="272" t="s">
        <v>673</v>
      </c>
      <c r="B621" s="282">
        <f t="shared" si="267"/>
        <v>4</v>
      </c>
      <c r="C621" s="272"/>
      <c r="D621" s="273"/>
      <c r="E621" s="273"/>
      <c r="F621" s="393" t="s">
        <v>1956</v>
      </c>
      <c r="G621" s="394"/>
      <c r="H621" s="274">
        <f t="shared" ref="H621:L621" si="280">H622+H629+H633+H640+H651+H654+H659+H662+H664+H670</f>
        <v>5307938210.0900002</v>
      </c>
      <c r="I621" s="274">
        <f t="shared" si="280"/>
        <v>5833749282.6500111</v>
      </c>
      <c r="J621" s="280">
        <f t="shared" si="280"/>
        <v>6146617878.1679716</v>
      </c>
      <c r="K621" s="345">
        <f t="shared" si="280"/>
        <v>6450240742.79</v>
      </c>
      <c r="L621" s="281">
        <f t="shared" si="280"/>
        <v>6833450433</v>
      </c>
      <c r="M621" s="263"/>
      <c r="N621" s="263"/>
      <c r="O621" s="277">
        <f t="shared" si="276"/>
        <v>686832554.83202839</v>
      </c>
      <c r="P621" s="278">
        <f t="shared" si="260"/>
        <v>1.1117415411931777</v>
      </c>
      <c r="Q621" s="277">
        <f t="shared" si="277"/>
        <v>999701150.34998894</v>
      </c>
      <c r="R621" s="278">
        <f t="shared" si="262"/>
        <v>1.171365120767732</v>
      </c>
      <c r="S621" s="277">
        <f>L621-K621</f>
        <v>383209690.21000004</v>
      </c>
      <c r="T621" s="278">
        <f t="shared" si="264"/>
        <v>1.0594101376198009</v>
      </c>
      <c r="U621" s="277">
        <f>K621-I621</f>
        <v>616491460.1399889</v>
      </c>
      <c r="V621" s="278">
        <f>IF(I621=0,"",K621/I621)</f>
        <v>1.1056767149684472</v>
      </c>
      <c r="W621" s="266">
        <f t="shared" si="270"/>
        <v>4</v>
      </c>
    </row>
    <row r="622" spans="1:23" ht="11.25" customHeight="1" x14ac:dyDescent="0.25">
      <c r="A622" s="55" t="s">
        <v>1461</v>
      </c>
      <c r="B622" s="282">
        <f t="shared" si="267"/>
        <v>7</v>
      </c>
      <c r="C622" s="55"/>
      <c r="D622" s="53"/>
      <c r="E622" s="53"/>
      <c r="F622" s="381" t="s">
        <v>675</v>
      </c>
      <c r="G622" s="382"/>
      <c r="H622" s="54">
        <f t="shared" ref="H622:L622" si="281">SUM(H623:H628)</f>
        <v>40780302.939999998</v>
      </c>
      <c r="I622" s="54">
        <f t="shared" si="281"/>
        <v>47495394.68999999</v>
      </c>
      <c r="J622" s="136">
        <f t="shared" si="281"/>
        <v>46618158.978544928</v>
      </c>
      <c r="K622" s="182">
        <f t="shared" si="281"/>
        <v>51248974.560000002</v>
      </c>
      <c r="L622" s="153">
        <f t="shared" si="281"/>
        <v>51600000</v>
      </c>
      <c r="O622" s="88">
        <f t="shared" si="276"/>
        <v>4981841.0214550719</v>
      </c>
      <c r="P622" s="123">
        <f t="shared" si="260"/>
        <v>1.1068648168570505</v>
      </c>
      <c r="Q622" s="88">
        <f t="shared" si="277"/>
        <v>4104605.3100000098</v>
      </c>
      <c r="R622" s="123">
        <f t="shared" si="262"/>
        <v>1.0864211222328093</v>
      </c>
      <c r="S622" s="88">
        <f>L622-K622</f>
        <v>351025.43999999762</v>
      </c>
      <c r="T622" s="123">
        <f t="shared" si="264"/>
        <v>1.0068494139251321</v>
      </c>
      <c r="U622" s="88">
        <f>K622-I622</f>
        <v>3753579.8700000122</v>
      </c>
      <c r="V622" s="123">
        <f>IF(I622=0,"",K622/I622)</f>
        <v>1.0790303964099979</v>
      </c>
      <c r="W622" s="157">
        <f t="shared" si="270"/>
        <v>7</v>
      </c>
    </row>
    <row r="623" spans="1:23" ht="11.25" customHeight="1" x14ac:dyDescent="0.25">
      <c r="A623" s="42" t="s">
        <v>1462</v>
      </c>
      <c r="B623" s="282">
        <f t="shared" si="267"/>
        <v>11</v>
      </c>
      <c r="C623" s="27" t="s">
        <v>916</v>
      </c>
      <c r="D623" s="28" t="s">
        <v>923</v>
      </c>
      <c r="E623" s="28" t="s">
        <v>917</v>
      </c>
      <c r="F623" s="373" t="s">
        <v>676</v>
      </c>
      <c r="G623" s="374"/>
      <c r="H623" s="11">
        <v>4854040.51</v>
      </c>
      <c r="I623" s="11">
        <v>4813977.62</v>
      </c>
      <c r="J623" s="336">
        <v>4900189.7009195602</v>
      </c>
      <c r="K623" s="130">
        <v>4278168.76000001</v>
      </c>
      <c r="L623" s="142">
        <v>4200000</v>
      </c>
      <c r="O623" s="88">
        <f t="shared" si="276"/>
        <v>-700189.70091956016</v>
      </c>
      <c r="P623" s="123">
        <f t="shared" si="260"/>
        <v>0.85710967459317666</v>
      </c>
      <c r="Q623" s="88">
        <f t="shared" si="277"/>
        <v>-613977.62000000011</v>
      </c>
      <c r="R623" s="123">
        <f t="shared" si="262"/>
        <v>0.87245939460765498</v>
      </c>
      <c r="S623" s="88">
        <f t="shared" ref="S623:S686" si="282">L623-K623</f>
        <v>-78168.760000010021</v>
      </c>
      <c r="T623" s="123">
        <f t="shared" si="264"/>
        <v>0.98172845336750814</v>
      </c>
      <c r="U623" s="88">
        <f t="shared" ref="U623:U686" si="283">K623-I623</f>
        <v>-535808.85999999009</v>
      </c>
      <c r="V623" s="123">
        <f t="shared" ref="V623:V686" si="284">IF(I623=0,"",K623/I623)</f>
        <v>0.88869726818547401</v>
      </c>
      <c r="W623" s="157">
        <f t="shared" si="270"/>
        <v>11</v>
      </c>
    </row>
    <row r="624" spans="1:23" ht="11.25" customHeight="1" x14ac:dyDescent="0.25">
      <c r="A624" s="42" t="s">
        <v>1463</v>
      </c>
      <c r="B624" s="282">
        <f t="shared" si="267"/>
        <v>11</v>
      </c>
      <c r="C624" s="27" t="s">
        <v>916</v>
      </c>
      <c r="D624" s="28" t="s">
        <v>923</v>
      </c>
      <c r="E624" s="28" t="s">
        <v>917</v>
      </c>
      <c r="F624" s="373" t="s">
        <v>677</v>
      </c>
      <c r="G624" s="374"/>
      <c r="H624" s="11">
        <v>967636.38</v>
      </c>
      <c r="I624" s="11">
        <v>1068144.72</v>
      </c>
      <c r="J624" s="336">
        <v>1149599.9999999399</v>
      </c>
      <c r="K624" s="130">
        <v>1234341.02</v>
      </c>
      <c r="L624" s="142">
        <v>1150000</v>
      </c>
      <c r="O624" s="88">
        <f t="shared" si="276"/>
        <v>400.00000006007031</v>
      </c>
      <c r="P624" s="123">
        <f t="shared" si="260"/>
        <v>1.0003479471120913</v>
      </c>
      <c r="Q624" s="88">
        <f t="shared" si="277"/>
        <v>81855.280000000028</v>
      </c>
      <c r="R624" s="123">
        <f t="shared" si="262"/>
        <v>1.0766331363787485</v>
      </c>
      <c r="S624" s="88">
        <f t="shared" si="282"/>
        <v>-84341.020000000019</v>
      </c>
      <c r="T624" s="123">
        <f t="shared" si="264"/>
        <v>0.93167121675985454</v>
      </c>
      <c r="U624" s="88">
        <f t="shared" si="283"/>
        <v>166196.30000000005</v>
      </c>
      <c r="V624" s="123">
        <f t="shared" si="284"/>
        <v>1.1555934293248205</v>
      </c>
      <c r="W624" s="157">
        <f t="shared" si="270"/>
        <v>11</v>
      </c>
    </row>
    <row r="625" spans="1:23" ht="11.25" customHeight="1" x14ac:dyDescent="0.25">
      <c r="A625" s="42" t="s">
        <v>1464</v>
      </c>
      <c r="B625" s="282">
        <f t="shared" si="267"/>
        <v>11</v>
      </c>
      <c r="C625" s="27" t="s">
        <v>916</v>
      </c>
      <c r="D625" s="28" t="s">
        <v>923</v>
      </c>
      <c r="E625" s="28" t="s">
        <v>917</v>
      </c>
      <c r="F625" s="373" t="s">
        <v>678</v>
      </c>
      <c r="G625" s="374"/>
      <c r="H625" s="11">
        <v>1627737.02</v>
      </c>
      <c r="I625" s="11">
        <v>1778785.86</v>
      </c>
      <c r="J625" s="336">
        <v>1729999.9999999399</v>
      </c>
      <c r="K625" s="130">
        <v>1890272.05</v>
      </c>
      <c r="L625" s="142">
        <v>1900000</v>
      </c>
      <c r="O625" s="88">
        <f t="shared" si="276"/>
        <v>170000.00000006007</v>
      </c>
      <c r="P625" s="123">
        <f t="shared" si="260"/>
        <v>1.0982658959537954</v>
      </c>
      <c r="Q625" s="88">
        <f t="shared" si="277"/>
        <v>121214.1399999999</v>
      </c>
      <c r="R625" s="123">
        <f t="shared" si="262"/>
        <v>1.0681443127729833</v>
      </c>
      <c r="S625" s="88">
        <f t="shared" si="282"/>
        <v>9727.9499999999534</v>
      </c>
      <c r="T625" s="123">
        <f t="shared" si="264"/>
        <v>1.005146322721113</v>
      </c>
      <c r="U625" s="88">
        <f t="shared" si="283"/>
        <v>111486.18999999994</v>
      </c>
      <c r="V625" s="123">
        <f t="shared" si="284"/>
        <v>1.0626754420006463</v>
      </c>
      <c r="W625" s="157">
        <f t="shared" si="270"/>
        <v>11</v>
      </c>
    </row>
    <row r="626" spans="1:23" ht="11.25" customHeight="1" x14ac:dyDescent="0.25">
      <c r="A626" s="42" t="s">
        <v>1465</v>
      </c>
      <c r="B626" s="282">
        <f t="shared" si="267"/>
        <v>11</v>
      </c>
      <c r="C626" s="27" t="s">
        <v>916</v>
      </c>
      <c r="D626" s="28" t="s">
        <v>923</v>
      </c>
      <c r="E626" s="28" t="s">
        <v>917</v>
      </c>
      <c r="F626" s="373" t="s">
        <v>679</v>
      </c>
      <c r="G626" s="374"/>
      <c r="H626" s="11">
        <v>508657.99</v>
      </c>
      <c r="I626" s="11">
        <v>727917.7</v>
      </c>
      <c r="J626" s="336">
        <v>689999.999999961</v>
      </c>
      <c r="K626" s="130">
        <v>777752.04000000097</v>
      </c>
      <c r="L626" s="142">
        <v>750000</v>
      </c>
      <c r="O626" s="88">
        <f t="shared" si="276"/>
        <v>60000.000000038999</v>
      </c>
      <c r="P626" s="123">
        <f t="shared" si="260"/>
        <v>1.0869565217391919</v>
      </c>
      <c r="Q626" s="88">
        <f t="shared" si="277"/>
        <v>22082.300000000047</v>
      </c>
      <c r="R626" s="123">
        <f t="shared" si="262"/>
        <v>1.0303362591677603</v>
      </c>
      <c r="S626" s="88">
        <f t="shared" si="282"/>
        <v>-27752.040000000969</v>
      </c>
      <c r="T626" s="123">
        <f t="shared" si="264"/>
        <v>0.96431762493351869</v>
      </c>
      <c r="U626" s="88">
        <f t="shared" si="283"/>
        <v>49834.340000001015</v>
      </c>
      <c r="V626" s="123">
        <f t="shared" si="284"/>
        <v>1.0684615032715938</v>
      </c>
      <c r="W626" s="157">
        <f t="shared" si="270"/>
        <v>11</v>
      </c>
    </row>
    <row r="627" spans="1:23" ht="11.25" customHeight="1" x14ac:dyDescent="0.25">
      <c r="A627" s="42" t="s">
        <v>1466</v>
      </c>
      <c r="B627" s="282">
        <f t="shared" si="267"/>
        <v>11</v>
      </c>
      <c r="C627" s="27" t="s">
        <v>916</v>
      </c>
      <c r="D627" s="28" t="s">
        <v>923</v>
      </c>
      <c r="E627" s="28" t="s">
        <v>917</v>
      </c>
      <c r="F627" s="373" t="s">
        <v>680</v>
      </c>
      <c r="G627" s="374"/>
      <c r="H627" s="11">
        <v>4374386.12</v>
      </c>
      <c r="I627" s="11">
        <v>7170147.02999999</v>
      </c>
      <c r="J627" s="336">
        <v>7147999.9999997299</v>
      </c>
      <c r="K627" s="130">
        <v>8904349.5399999898</v>
      </c>
      <c r="L627" s="142">
        <v>8600000</v>
      </c>
      <c r="O627" s="88">
        <f t="shared" si="276"/>
        <v>1452000.0000002701</v>
      </c>
      <c r="P627" s="123">
        <f t="shared" si="260"/>
        <v>1.2031337437045782</v>
      </c>
      <c r="Q627" s="88">
        <f t="shared" si="277"/>
        <v>1429852.97000001</v>
      </c>
      <c r="R627" s="123">
        <f t="shared" si="262"/>
        <v>1.1994175243572394</v>
      </c>
      <c r="S627" s="88">
        <f t="shared" si="282"/>
        <v>-304349.53999998979</v>
      </c>
      <c r="T627" s="123">
        <f t="shared" si="264"/>
        <v>0.96582012659849037</v>
      </c>
      <c r="U627" s="88">
        <f t="shared" si="283"/>
        <v>1734202.5099999998</v>
      </c>
      <c r="V627" s="123">
        <f t="shared" si="284"/>
        <v>1.2418642885207338</v>
      </c>
      <c r="W627" s="157">
        <f t="shared" si="270"/>
        <v>11</v>
      </c>
    </row>
    <row r="628" spans="1:23" ht="11.25" customHeight="1" x14ac:dyDescent="0.25">
      <c r="A628" s="42" t="s">
        <v>1467</v>
      </c>
      <c r="B628" s="282">
        <f t="shared" si="267"/>
        <v>11</v>
      </c>
      <c r="C628" s="27" t="s">
        <v>916</v>
      </c>
      <c r="D628" s="28" t="s">
        <v>923</v>
      </c>
      <c r="E628" s="28" t="s">
        <v>917</v>
      </c>
      <c r="F628" s="373" t="s">
        <v>681</v>
      </c>
      <c r="G628" s="374"/>
      <c r="H628" s="11">
        <v>28447844.920000002</v>
      </c>
      <c r="I628" s="11">
        <v>31936421.760000002</v>
      </c>
      <c r="J628" s="336">
        <v>31000369.277625799</v>
      </c>
      <c r="K628" s="130">
        <v>34164091.149999999</v>
      </c>
      <c r="L628" s="142">
        <v>35000000</v>
      </c>
      <c r="O628" s="88">
        <f t="shared" si="276"/>
        <v>3999630.7223742008</v>
      </c>
      <c r="P628" s="123">
        <f t="shared" si="260"/>
        <v>1.1290188089875721</v>
      </c>
      <c r="Q628" s="88">
        <f t="shared" si="277"/>
        <v>3063578.2399999984</v>
      </c>
      <c r="R628" s="123">
        <f t="shared" si="262"/>
        <v>1.095927410497725</v>
      </c>
      <c r="S628" s="88">
        <f t="shared" si="282"/>
        <v>835908.85000000149</v>
      </c>
      <c r="T628" s="123">
        <f t="shared" si="264"/>
        <v>1.0244674692597524</v>
      </c>
      <c r="U628" s="88">
        <f t="shared" si="283"/>
        <v>2227669.3899999969</v>
      </c>
      <c r="V628" s="123">
        <f t="shared" si="284"/>
        <v>1.0697532556007927</v>
      </c>
      <c r="W628" s="157">
        <f t="shared" si="270"/>
        <v>11</v>
      </c>
    </row>
    <row r="629" spans="1:23" ht="11.25" customHeight="1" x14ac:dyDescent="0.25">
      <c r="A629" s="55" t="s">
        <v>1468</v>
      </c>
      <c r="B629" s="282">
        <f t="shared" si="267"/>
        <v>7</v>
      </c>
      <c r="C629" s="55"/>
      <c r="D629" s="53"/>
      <c r="E629" s="53"/>
      <c r="F629" s="381" t="s">
        <v>682</v>
      </c>
      <c r="G629" s="382"/>
      <c r="H629" s="54">
        <f t="shared" ref="H629:L629" si="285">SUM(H630:H632)</f>
        <v>12447666.390000001</v>
      </c>
      <c r="I629" s="54">
        <f t="shared" si="285"/>
        <v>13962978.879999999</v>
      </c>
      <c r="J629" s="136">
        <f t="shared" si="285"/>
        <v>12999999.99999998</v>
      </c>
      <c r="K629" s="136">
        <f t="shared" si="285"/>
        <v>13743079.810000001</v>
      </c>
      <c r="L629" s="153">
        <f t="shared" si="285"/>
        <v>15050000</v>
      </c>
      <c r="O629" s="88">
        <f t="shared" si="276"/>
        <v>2050000.0000000205</v>
      </c>
      <c r="P629" s="123">
        <f t="shared" si="260"/>
        <v>1.1576923076923096</v>
      </c>
      <c r="Q629" s="88">
        <f t="shared" si="277"/>
        <v>1087021.120000001</v>
      </c>
      <c r="R629" s="123">
        <f t="shared" si="262"/>
        <v>1.0778502301938597</v>
      </c>
      <c r="S629" s="88">
        <f t="shared" si="282"/>
        <v>1306920.1899999995</v>
      </c>
      <c r="T629" s="123">
        <f t="shared" si="264"/>
        <v>1.0950966019311794</v>
      </c>
      <c r="U629" s="88">
        <f t="shared" si="283"/>
        <v>-219899.06999999844</v>
      </c>
      <c r="V629" s="123">
        <f t="shared" si="284"/>
        <v>0.98425127819143432</v>
      </c>
      <c r="W629" s="157">
        <f t="shared" si="270"/>
        <v>7</v>
      </c>
    </row>
    <row r="630" spans="1:23" ht="11.25" customHeight="1" x14ac:dyDescent="0.25">
      <c r="A630" s="42" t="s">
        <v>1469</v>
      </c>
      <c r="B630" s="282">
        <f t="shared" si="267"/>
        <v>11</v>
      </c>
      <c r="C630" s="20" t="s">
        <v>922</v>
      </c>
      <c r="D630" s="20" t="s">
        <v>923</v>
      </c>
      <c r="E630" s="20" t="s">
        <v>1114</v>
      </c>
      <c r="F630" s="373" t="s">
        <v>683</v>
      </c>
      <c r="G630" s="374"/>
      <c r="H630" s="11">
        <v>5419619</v>
      </c>
      <c r="I630" s="11">
        <v>6566815.54</v>
      </c>
      <c r="J630" s="336">
        <v>10500000</v>
      </c>
      <c r="K630" s="130">
        <v>10206887.960000001</v>
      </c>
      <c r="L630" s="142">
        <f>10000000*1.025</f>
        <v>10250000</v>
      </c>
      <c r="O630" s="88">
        <f t="shared" si="276"/>
        <v>-250000</v>
      </c>
      <c r="P630" s="123">
        <f t="shared" si="260"/>
        <v>0.97619047619047616</v>
      </c>
      <c r="Q630" s="88">
        <f t="shared" si="277"/>
        <v>3683184.46</v>
      </c>
      <c r="R630" s="123">
        <f t="shared" si="262"/>
        <v>1.5608783188083886</v>
      </c>
      <c r="S630" s="88">
        <f t="shared" si="282"/>
        <v>43112.039999999106</v>
      </c>
      <c r="T630" s="123">
        <f t="shared" si="264"/>
        <v>1.0042238182851573</v>
      </c>
      <c r="U630" s="88">
        <f t="shared" si="283"/>
        <v>3640072.4200000009</v>
      </c>
      <c r="V630" s="123">
        <f t="shared" si="284"/>
        <v>1.5543131823678422</v>
      </c>
      <c r="W630" s="157">
        <f t="shared" si="270"/>
        <v>11</v>
      </c>
    </row>
    <row r="631" spans="1:23" ht="11.25" customHeight="1" x14ac:dyDescent="0.25">
      <c r="A631" s="42" t="s">
        <v>1470</v>
      </c>
      <c r="B631" s="282">
        <f t="shared" si="267"/>
        <v>11</v>
      </c>
      <c r="C631" s="20" t="s">
        <v>922</v>
      </c>
      <c r="D631" s="20" t="s">
        <v>923</v>
      </c>
      <c r="E631" s="20" t="s">
        <v>1114</v>
      </c>
      <c r="F631" s="373" t="s">
        <v>684</v>
      </c>
      <c r="G631" s="374"/>
      <c r="H631" s="11">
        <v>2287340.39</v>
      </c>
      <c r="I631" s="11">
        <v>2379257.34</v>
      </c>
      <c r="J631" s="336">
        <v>2499999.99999998</v>
      </c>
      <c r="K631" s="130">
        <v>3536191.85</v>
      </c>
      <c r="L631" s="142">
        <v>4800000</v>
      </c>
      <c r="O631" s="88">
        <f t="shared" si="276"/>
        <v>2300000.00000002</v>
      </c>
      <c r="P631" s="123">
        <f t="shared" si="260"/>
        <v>1.9200000000000155</v>
      </c>
      <c r="Q631" s="88">
        <f t="shared" si="277"/>
        <v>2420742.66</v>
      </c>
      <c r="R631" s="123">
        <f t="shared" si="262"/>
        <v>2.0174362475645449</v>
      </c>
      <c r="S631" s="88">
        <f t="shared" si="282"/>
        <v>1263808.1499999999</v>
      </c>
      <c r="T631" s="123">
        <f t="shared" si="264"/>
        <v>1.3573924163645137</v>
      </c>
      <c r="U631" s="88">
        <f t="shared" si="283"/>
        <v>1156934.5100000002</v>
      </c>
      <c r="V631" s="123">
        <f t="shared" si="284"/>
        <v>1.4862586701109013</v>
      </c>
      <c r="W631" s="157">
        <f t="shared" si="270"/>
        <v>11</v>
      </c>
    </row>
    <row r="632" spans="1:23" ht="11.25" customHeight="1" x14ac:dyDescent="0.25">
      <c r="A632" s="42" t="s">
        <v>1471</v>
      </c>
      <c r="B632" s="282">
        <f t="shared" si="267"/>
        <v>11</v>
      </c>
      <c r="C632" s="14"/>
      <c r="D632" s="13"/>
      <c r="E632" s="13"/>
      <c r="F632" s="373" t="s">
        <v>685</v>
      </c>
      <c r="G632" s="374"/>
      <c r="H632" s="11">
        <v>4740707</v>
      </c>
      <c r="I632" s="11">
        <v>5016906</v>
      </c>
      <c r="J632" s="336">
        <v>0</v>
      </c>
      <c r="K632" s="130">
        <v>0</v>
      </c>
      <c r="L632" s="141"/>
      <c r="O632" s="88">
        <f t="shared" si="276"/>
        <v>0</v>
      </c>
      <c r="P632" s="123" t="str">
        <f t="shared" si="260"/>
        <v/>
      </c>
      <c r="Q632" s="88">
        <f t="shared" si="277"/>
        <v>-5016906</v>
      </c>
      <c r="R632" s="123">
        <f t="shared" si="262"/>
        <v>0</v>
      </c>
      <c r="S632" s="88">
        <f t="shared" si="282"/>
        <v>0</v>
      </c>
      <c r="T632" s="123" t="str">
        <f t="shared" si="264"/>
        <v/>
      </c>
      <c r="U632" s="88">
        <f t="shared" si="283"/>
        <v>-5016906</v>
      </c>
      <c r="V632" s="123">
        <f t="shared" si="284"/>
        <v>0</v>
      </c>
      <c r="W632" s="157">
        <f t="shared" si="270"/>
        <v>11</v>
      </c>
    </row>
    <row r="633" spans="1:23" ht="11.25" customHeight="1" x14ac:dyDescent="0.25">
      <c r="A633" s="55" t="s">
        <v>1472</v>
      </c>
      <c r="B633" s="282">
        <f t="shared" si="267"/>
        <v>7</v>
      </c>
      <c r="C633" s="55"/>
      <c r="D633" s="53"/>
      <c r="E633" s="53"/>
      <c r="F633" s="381" t="s">
        <v>686</v>
      </c>
      <c r="G633" s="382"/>
      <c r="H633" s="54">
        <f t="shared" ref="H633:L633" si="286">SUM(H634:H639)</f>
        <v>36308434.330000006</v>
      </c>
      <c r="I633" s="54">
        <f t="shared" si="286"/>
        <v>34913249.300000004</v>
      </c>
      <c r="J633" s="136">
        <f t="shared" si="286"/>
        <v>0</v>
      </c>
      <c r="K633" s="136">
        <f t="shared" si="286"/>
        <v>0</v>
      </c>
      <c r="L633" s="153">
        <f t="shared" si="286"/>
        <v>0</v>
      </c>
      <c r="O633" s="88">
        <f t="shared" si="276"/>
        <v>0</v>
      </c>
      <c r="P633" s="123" t="str">
        <f t="shared" si="260"/>
        <v/>
      </c>
      <c r="Q633" s="88">
        <f t="shared" si="277"/>
        <v>-34913249.300000004</v>
      </c>
      <c r="R633" s="123">
        <f t="shared" si="262"/>
        <v>0</v>
      </c>
      <c r="S633" s="88">
        <f t="shared" si="282"/>
        <v>0</v>
      </c>
      <c r="T633" s="123" t="str">
        <f t="shared" si="264"/>
        <v/>
      </c>
      <c r="U633" s="88">
        <f t="shared" si="283"/>
        <v>-34913249.300000004</v>
      </c>
      <c r="V633" s="123">
        <f t="shared" si="284"/>
        <v>0</v>
      </c>
      <c r="W633" s="157">
        <f t="shared" si="270"/>
        <v>7</v>
      </c>
    </row>
    <row r="634" spans="1:23" ht="11.25" customHeight="1" x14ac:dyDescent="0.25">
      <c r="A634" s="42" t="s">
        <v>1473</v>
      </c>
      <c r="B634" s="282">
        <f t="shared" si="267"/>
        <v>11</v>
      </c>
      <c r="C634" s="20"/>
      <c r="D634" s="20"/>
      <c r="E634" s="20"/>
      <c r="F634" s="373" t="s">
        <v>687</v>
      </c>
      <c r="G634" s="374"/>
      <c r="H634" s="11">
        <v>3718181.3</v>
      </c>
      <c r="I634" s="11">
        <v>5919982.71</v>
      </c>
      <c r="J634" s="336">
        <v>0</v>
      </c>
      <c r="K634" s="130">
        <v>0</v>
      </c>
      <c r="L634" s="141"/>
      <c r="O634" s="88">
        <f t="shared" si="276"/>
        <v>0</v>
      </c>
      <c r="P634" s="123" t="str">
        <f t="shared" si="260"/>
        <v/>
      </c>
      <c r="Q634" s="88">
        <f t="shared" si="277"/>
        <v>-5919982.71</v>
      </c>
      <c r="R634" s="123">
        <f t="shared" si="262"/>
        <v>0</v>
      </c>
      <c r="S634" s="88">
        <f t="shared" si="282"/>
        <v>0</v>
      </c>
      <c r="T634" s="123" t="str">
        <f t="shared" si="264"/>
        <v/>
      </c>
      <c r="U634" s="88">
        <f t="shared" si="283"/>
        <v>-5919982.71</v>
      </c>
      <c r="V634" s="123">
        <f t="shared" si="284"/>
        <v>0</v>
      </c>
      <c r="W634" s="157">
        <f t="shared" si="270"/>
        <v>11</v>
      </c>
    </row>
    <row r="635" spans="1:23" ht="11.25" customHeight="1" x14ac:dyDescent="0.25">
      <c r="A635" s="42" t="s">
        <v>1474</v>
      </c>
      <c r="B635" s="282">
        <f t="shared" si="267"/>
        <v>11</v>
      </c>
      <c r="C635" s="20"/>
      <c r="D635" s="20"/>
      <c r="E635" s="20"/>
      <c r="F635" s="373" t="s">
        <v>688</v>
      </c>
      <c r="G635" s="374"/>
      <c r="H635" s="11">
        <v>12394769</v>
      </c>
      <c r="I635" s="11">
        <v>12180270</v>
      </c>
      <c r="J635" s="336">
        <v>0</v>
      </c>
      <c r="K635" s="130">
        <v>0</v>
      </c>
      <c r="L635" s="141"/>
      <c r="O635" s="88">
        <f t="shared" si="276"/>
        <v>0</v>
      </c>
      <c r="P635" s="123" t="str">
        <f t="shared" si="260"/>
        <v/>
      </c>
      <c r="Q635" s="88">
        <f t="shared" si="277"/>
        <v>-12180270</v>
      </c>
      <c r="R635" s="123">
        <f t="shared" si="262"/>
        <v>0</v>
      </c>
      <c r="S635" s="88">
        <f t="shared" si="282"/>
        <v>0</v>
      </c>
      <c r="T635" s="123" t="str">
        <f t="shared" si="264"/>
        <v/>
      </c>
      <c r="U635" s="88">
        <f t="shared" si="283"/>
        <v>-12180270</v>
      </c>
      <c r="V635" s="123">
        <f t="shared" si="284"/>
        <v>0</v>
      </c>
      <c r="W635" s="157">
        <f t="shared" si="270"/>
        <v>11</v>
      </c>
    </row>
    <row r="636" spans="1:23" ht="11.25" customHeight="1" x14ac:dyDescent="0.25">
      <c r="A636" s="42" t="s">
        <v>1475</v>
      </c>
      <c r="B636" s="282">
        <f t="shared" si="267"/>
        <v>11</v>
      </c>
      <c r="C636" s="20"/>
      <c r="D636" s="20"/>
      <c r="E636" s="20"/>
      <c r="F636" s="373" t="s">
        <v>689</v>
      </c>
      <c r="G636" s="374"/>
      <c r="H636" s="11">
        <v>3553164.66</v>
      </c>
      <c r="I636" s="11">
        <v>2020995.7</v>
      </c>
      <c r="J636" s="336">
        <v>0</v>
      </c>
      <c r="K636" s="130">
        <v>0</v>
      </c>
      <c r="L636" s="141"/>
      <c r="O636" s="88">
        <f t="shared" si="276"/>
        <v>0</v>
      </c>
      <c r="P636" s="123" t="str">
        <f t="shared" si="260"/>
        <v/>
      </c>
      <c r="Q636" s="88">
        <f t="shared" si="277"/>
        <v>-2020995.7</v>
      </c>
      <c r="R636" s="123">
        <f t="shared" si="262"/>
        <v>0</v>
      </c>
      <c r="S636" s="88">
        <f t="shared" si="282"/>
        <v>0</v>
      </c>
      <c r="T636" s="123" t="str">
        <f t="shared" si="264"/>
        <v/>
      </c>
      <c r="U636" s="88">
        <f t="shared" si="283"/>
        <v>-2020995.7</v>
      </c>
      <c r="V636" s="123">
        <f t="shared" si="284"/>
        <v>0</v>
      </c>
      <c r="W636" s="157">
        <f t="shared" si="270"/>
        <v>11</v>
      </c>
    </row>
    <row r="637" spans="1:23" ht="11.25" customHeight="1" x14ac:dyDescent="0.25">
      <c r="A637" s="42" t="s">
        <v>1476</v>
      </c>
      <c r="B637" s="282">
        <f t="shared" si="267"/>
        <v>11</v>
      </c>
      <c r="C637" s="20"/>
      <c r="D637" s="20"/>
      <c r="E637" s="20"/>
      <c r="F637" s="373" t="s">
        <v>690</v>
      </c>
      <c r="G637" s="374"/>
      <c r="H637" s="11">
        <v>17427.349999999999</v>
      </c>
      <c r="I637" s="11">
        <v>0</v>
      </c>
      <c r="J637" s="336">
        <v>0</v>
      </c>
      <c r="K637" s="130">
        <v>0</v>
      </c>
      <c r="L637" s="141"/>
      <c r="O637" s="88">
        <f t="shared" si="276"/>
        <v>0</v>
      </c>
      <c r="P637" s="123" t="str">
        <f t="shared" si="260"/>
        <v/>
      </c>
      <c r="Q637" s="88">
        <f t="shared" si="277"/>
        <v>0</v>
      </c>
      <c r="R637" s="123" t="str">
        <f t="shared" si="262"/>
        <v/>
      </c>
      <c r="S637" s="88">
        <f t="shared" si="282"/>
        <v>0</v>
      </c>
      <c r="T637" s="123" t="str">
        <f t="shared" si="264"/>
        <v/>
      </c>
      <c r="U637" s="88">
        <f t="shared" si="283"/>
        <v>0</v>
      </c>
      <c r="V637" s="123" t="str">
        <f t="shared" si="284"/>
        <v/>
      </c>
      <c r="W637" s="157">
        <f t="shared" si="270"/>
        <v>11</v>
      </c>
    </row>
    <row r="638" spans="1:23" ht="11.25" customHeight="1" x14ac:dyDescent="0.25">
      <c r="A638" s="42" t="s">
        <v>1477</v>
      </c>
      <c r="B638" s="282">
        <f t="shared" si="267"/>
        <v>11</v>
      </c>
      <c r="C638" s="20"/>
      <c r="D638" s="20"/>
      <c r="E638" s="20"/>
      <c r="F638" s="373" t="s">
        <v>691</v>
      </c>
      <c r="G638" s="374"/>
      <c r="H638" s="11">
        <v>16461438.82</v>
      </c>
      <c r="I638" s="11">
        <v>14538428.51</v>
      </c>
      <c r="J638" s="336">
        <v>0</v>
      </c>
      <c r="K638" s="130">
        <v>0</v>
      </c>
      <c r="L638" s="141"/>
      <c r="O638" s="88">
        <f t="shared" si="276"/>
        <v>0</v>
      </c>
      <c r="P638" s="123" t="str">
        <f t="shared" si="260"/>
        <v/>
      </c>
      <c r="Q638" s="88">
        <f t="shared" si="277"/>
        <v>-14538428.51</v>
      </c>
      <c r="R638" s="123">
        <f t="shared" si="262"/>
        <v>0</v>
      </c>
      <c r="S638" s="88">
        <f t="shared" si="282"/>
        <v>0</v>
      </c>
      <c r="T638" s="123" t="str">
        <f t="shared" si="264"/>
        <v/>
      </c>
      <c r="U638" s="88">
        <f t="shared" si="283"/>
        <v>-14538428.51</v>
      </c>
      <c r="V638" s="123">
        <f t="shared" si="284"/>
        <v>0</v>
      </c>
      <c r="W638" s="157">
        <f t="shared" si="270"/>
        <v>11</v>
      </c>
    </row>
    <row r="639" spans="1:23" ht="11.25" customHeight="1" x14ac:dyDescent="0.25">
      <c r="A639" s="42" t="s">
        <v>1478</v>
      </c>
      <c r="B639" s="282">
        <f t="shared" si="267"/>
        <v>11</v>
      </c>
      <c r="C639" s="20"/>
      <c r="D639" s="20"/>
      <c r="E639" s="20"/>
      <c r="F639" s="373" t="s">
        <v>692</v>
      </c>
      <c r="G639" s="374"/>
      <c r="H639" s="11">
        <v>163453.20000000001</v>
      </c>
      <c r="I639" s="11">
        <v>253572.38</v>
      </c>
      <c r="J639" s="336">
        <v>0</v>
      </c>
      <c r="K639" s="130">
        <v>0</v>
      </c>
      <c r="L639" s="141"/>
      <c r="O639" s="88">
        <f t="shared" si="276"/>
        <v>0</v>
      </c>
      <c r="P639" s="123" t="str">
        <f t="shared" si="260"/>
        <v/>
      </c>
      <c r="Q639" s="88">
        <f t="shared" si="277"/>
        <v>-253572.38</v>
      </c>
      <c r="R639" s="123">
        <f t="shared" si="262"/>
        <v>0</v>
      </c>
      <c r="S639" s="88">
        <f t="shared" si="282"/>
        <v>0</v>
      </c>
      <c r="T639" s="123" t="str">
        <f t="shared" si="264"/>
        <v/>
      </c>
      <c r="U639" s="88">
        <f t="shared" si="283"/>
        <v>-253572.38</v>
      </c>
      <c r="V639" s="123">
        <f t="shared" si="284"/>
        <v>0</v>
      </c>
      <c r="W639" s="157">
        <f t="shared" si="270"/>
        <v>11</v>
      </c>
    </row>
    <row r="640" spans="1:23" ht="11.25" customHeight="1" x14ac:dyDescent="0.25">
      <c r="A640" s="55" t="s">
        <v>1479</v>
      </c>
      <c r="B640" s="282">
        <f t="shared" si="267"/>
        <v>7</v>
      </c>
      <c r="C640" s="55"/>
      <c r="D640" s="53"/>
      <c r="E640" s="53"/>
      <c r="F640" s="381" t="s">
        <v>693</v>
      </c>
      <c r="G640" s="382"/>
      <c r="H640" s="54">
        <f t="shared" ref="H640:L640" si="287">SUM(H641:H650)</f>
        <v>49998727.699999996</v>
      </c>
      <c r="I640" s="54">
        <f t="shared" si="287"/>
        <v>61518952.020000018</v>
      </c>
      <c r="J640" s="136">
        <f t="shared" si="287"/>
        <v>73099811.917753398</v>
      </c>
      <c r="K640" s="136">
        <f t="shared" si="287"/>
        <v>126469176.16000012</v>
      </c>
      <c r="L640" s="153">
        <f t="shared" si="287"/>
        <v>0</v>
      </c>
      <c r="O640" s="88">
        <f t="shared" si="276"/>
        <v>-73099811.917753398</v>
      </c>
      <c r="P640" s="123">
        <f t="shared" si="260"/>
        <v>0</v>
      </c>
      <c r="Q640" s="88">
        <f t="shared" si="277"/>
        <v>-61518952.020000018</v>
      </c>
      <c r="R640" s="123">
        <f t="shared" si="262"/>
        <v>0</v>
      </c>
      <c r="S640" s="88">
        <f t="shared" si="282"/>
        <v>-126469176.16000012</v>
      </c>
      <c r="T640" s="123">
        <f t="shared" si="264"/>
        <v>0</v>
      </c>
      <c r="U640" s="88">
        <f t="shared" si="283"/>
        <v>64950224.140000097</v>
      </c>
      <c r="V640" s="123">
        <f t="shared" si="284"/>
        <v>2.0557758545510425</v>
      </c>
      <c r="W640" s="157">
        <f t="shared" si="270"/>
        <v>7</v>
      </c>
    </row>
    <row r="641" spans="1:23" ht="11.25" customHeight="1" x14ac:dyDescent="0.25">
      <c r="A641" s="42" t="s">
        <v>1480</v>
      </c>
      <c r="B641" s="282">
        <f t="shared" si="267"/>
        <v>11</v>
      </c>
      <c r="C641" s="20" t="s">
        <v>916</v>
      </c>
      <c r="D641" s="20" t="s">
        <v>920</v>
      </c>
      <c r="E641" s="20" t="s">
        <v>1523</v>
      </c>
      <c r="F641" s="373" t="s">
        <v>694</v>
      </c>
      <c r="G641" s="374"/>
      <c r="H641" s="11">
        <v>0</v>
      </c>
      <c r="I641" s="11">
        <v>0</v>
      </c>
      <c r="J641" s="336">
        <v>62926811.917753503</v>
      </c>
      <c r="K641" s="130">
        <v>107605633.04000001</v>
      </c>
      <c r="L641" s="141"/>
      <c r="O641" s="88">
        <f t="shared" si="276"/>
        <v>-62926811.917753503</v>
      </c>
      <c r="P641" s="123">
        <f t="shared" si="260"/>
        <v>0</v>
      </c>
      <c r="Q641" s="88">
        <f t="shared" si="277"/>
        <v>0</v>
      </c>
      <c r="R641" s="123" t="str">
        <f t="shared" si="262"/>
        <v/>
      </c>
      <c r="S641" s="88">
        <f t="shared" si="282"/>
        <v>-107605633.04000001</v>
      </c>
      <c r="T641" s="123">
        <f t="shared" si="264"/>
        <v>0</v>
      </c>
      <c r="U641" s="88">
        <f t="shared" si="283"/>
        <v>107605633.04000001</v>
      </c>
      <c r="V641" s="123" t="str">
        <f t="shared" si="284"/>
        <v/>
      </c>
      <c r="W641" s="157">
        <f t="shared" si="270"/>
        <v>11</v>
      </c>
    </row>
    <row r="642" spans="1:23" ht="11.25" customHeight="1" x14ac:dyDescent="0.25">
      <c r="A642" s="42" t="s">
        <v>1481</v>
      </c>
      <c r="B642" s="282">
        <f t="shared" si="267"/>
        <v>11</v>
      </c>
      <c r="C642" s="20" t="s">
        <v>916</v>
      </c>
      <c r="D642" s="20" t="s">
        <v>920</v>
      </c>
      <c r="E642" s="20" t="s">
        <v>1523</v>
      </c>
      <c r="F642" s="373" t="s">
        <v>695</v>
      </c>
      <c r="G642" s="374"/>
      <c r="H642" s="11">
        <v>0</v>
      </c>
      <c r="I642" s="11">
        <v>0</v>
      </c>
      <c r="J642" s="336">
        <v>10172999.999999899</v>
      </c>
      <c r="K642" s="130">
        <v>18863543.120000102</v>
      </c>
      <c r="L642" s="141"/>
      <c r="O642" s="88">
        <f t="shared" si="276"/>
        <v>-10172999.999999899</v>
      </c>
      <c r="P642" s="123">
        <f t="shared" si="260"/>
        <v>0</v>
      </c>
      <c r="Q642" s="88">
        <f t="shared" si="277"/>
        <v>0</v>
      </c>
      <c r="R642" s="123" t="str">
        <f t="shared" si="262"/>
        <v/>
      </c>
      <c r="S642" s="88">
        <f t="shared" si="282"/>
        <v>-18863543.120000102</v>
      </c>
      <c r="T642" s="123">
        <f t="shared" si="264"/>
        <v>0</v>
      </c>
      <c r="U642" s="88">
        <f t="shared" si="283"/>
        <v>18863543.120000102</v>
      </c>
      <c r="V642" s="123" t="str">
        <f t="shared" si="284"/>
        <v/>
      </c>
      <c r="W642" s="157">
        <f t="shared" si="270"/>
        <v>11</v>
      </c>
    </row>
    <row r="643" spans="1:23" ht="11.25" customHeight="1" x14ac:dyDescent="0.25">
      <c r="A643" s="42" t="s">
        <v>1482</v>
      </c>
      <c r="B643" s="282">
        <f t="shared" si="267"/>
        <v>11</v>
      </c>
      <c r="C643" s="20"/>
      <c r="D643" s="20"/>
      <c r="E643" s="20"/>
      <c r="F643" s="373" t="s">
        <v>696</v>
      </c>
      <c r="G643" s="374"/>
      <c r="H643" s="11">
        <v>10716869.98</v>
      </c>
      <c r="I643" s="11">
        <v>19469662.899999999</v>
      </c>
      <c r="J643" s="336">
        <v>0</v>
      </c>
      <c r="K643" s="130">
        <v>0</v>
      </c>
      <c r="L643" s="141"/>
      <c r="O643" s="88">
        <f t="shared" si="276"/>
        <v>0</v>
      </c>
      <c r="P643" s="123" t="str">
        <f t="shared" si="260"/>
        <v/>
      </c>
      <c r="Q643" s="88">
        <f t="shared" si="277"/>
        <v>-19469662.899999999</v>
      </c>
      <c r="R643" s="123">
        <f t="shared" si="262"/>
        <v>0</v>
      </c>
      <c r="S643" s="88">
        <f t="shared" si="282"/>
        <v>0</v>
      </c>
      <c r="T643" s="123" t="str">
        <f t="shared" si="264"/>
        <v/>
      </c>
      <c r="U643" s="88">
        <f t="shared" si="283"/>
        <v>-19469662.899999999</v>
      </c>
      <c r="V643" s="123">
        <f t="shared" si="284"/>
        <v>0</v>
      </c>
      <c r="W643" s="157">
        <f t="shared" si="270"/>
        <v>11</v>
      </c>
    </row>
    <row r="644" spans="1:23" ht="11.25" customHeight="1" x14ac:dyDescent="0.25">
      <c r="A644" s="42" t="s">
        <v>1483</v>
      </c>
      <c r="B644" s="282">
        <f t="shared" si="267"/>
        <v>11</v>
      </c>
      <c r="C644" s="20"/>
      <c r="D644" s="20"/>
      <c r="E644" s="20"/>
      <c r="F644" s="373" t="s">
        <v>688</v>
      </c>
      <c r="G644" s="374"/>
      <c r="H644" s="11">
        <v>23607117.699999999</v>
      </c>
      <c r="I644" s="11">
        <v>23652343.300000001</v>
      </c>
      <c r="J644" s="336">
        <v>0</v>
      </c>
      <c r="K644" s="130">
        <v>0</v>
      </c>
      <c r="L644" s="141"/>
      <c r="O644" s="88">
        <f t="shared" si="276"/>
        <v>0</v>
      </c>
      <c r="P644" s="123" t="str">
        <f t="shared" si="260"/>
        <v/>
      </c>
      <c r="Q644" s="88">
        <f t="shared" si="277"/>
        <v>-23652343.300000001</v>
      </c>
      <c r="R644" s="123">
        <f t="shared" si="262"/>
        <v>0</v>
      </c>
      <c r="S644" s="88">
        <f t="shared" si="282"/>
        <v>0</v>
      </c>
      <c r="T644" s="123" t="str">
        <f t="shared" si="264"/>
        <v/>
      </c>
      <c r="U644" s="88">
        <f t="shared" si="283"/>
        <v>-23652343.300000001</v>
      </c>
      <c r="V644" s="123">
        <f t="shared" si="284"/>
        <v>0</v>
      </c>
      <c r="W644" s="157">
        <f t="shared" si="270"/>
        <v>11</v>
      </c>
    </row>
    <row r="645" spans="1:23" ht="11.25" customHeight="1" x14ac:dyDescent="0.25">
      <c r="A645" s="42" t="s">
        <v>1484</v>
      </c>
      <c r="B645" s="282">
        <f t="shared" si="267"/>
        <v>11</v>
      </c>
      <c r="C645" s="20"/>
      <c r="D645" s="20"/>
      <c r="E645" s="20"/>
      <c r="F645" s="373" t="s">
        <v>697</v>
      </c>
      <c r="G645" s="374"/>
      <c r="H645" s="11">
        <v>961160.26</v>
      </c>
      <c r="I645" s="11">
        <v>1202274.8500000001</v>
      </c>
      <c r="J645" s="336">
        <v>0</v>
      </c>
      <c r="K645" s="130">
        <v>0</v>
      </c>
      <c r="L645" s="141"/>
      <c r="O645" s="88">
        <f t="shared" si="276"/>
        <v>0</v>
      </c>
      <c r="P645" s="123" t="str">
        <f t="shared" si="260"/>
        <v/>
      </c>
      <c r="Q645" s="88">
        <f t="shared" si="277"/>
        <v>-1202274.8500000001</v>
      </c>
      <c r="R645" s="123">
        <f t="shared" si="262"/>
        <v>0</v>
      </c>
      <c r="S645" s="88">
        <f t="shared" si="282"/>
        <v>0</v>
      </c>
      <c r="T645" s="123" t="str">
        <f t="shared" si="264"/>
        <v/>
      </c>
      <c r="U645" s="88">
        <f t="shared" si="283"/>
        <v>-1202274.8500000001</v>
      </c>
      <c r="V645" s="123">
        <f t="shared" si="284"/>
        <v>0</v>
      </c>
      <c r="W645" s="157">
        <f t="shared" si="270"/>
        <v>11</v>
      </c>
    </row>
    <row r="646" spans="1:23" ht="11.25" customHeight="1" x14ac:dyDescent="0.25">
      <c r="A646" s="42" t="s">
        <v>1485</v>
      </c>
      <c r="B646" s="282">
        <f t="shared" si="267"/>
        <v>11</v>
      </c>
      <c r="C646" s="20"/>
      <c r="D646" s="20"/>
      <c r="E646" s="20"/>
      <c r="F646" s="373" t="s">
        <v>689</v>
      </c>
      <c r="G646" s="374"/>
      <c r="H646" s="11">
        <v>5081215.66</v>
      </c>
      <c r="I646" s="11">
        <v>3639962.77</v>
      </c>
      <c r="J646" s="336">
        <v>0</v>
      </c>
      <c r="K646" s="130">
        <v>0</v>
      </c>
      <c r="L646" s="141"/>
      <c r="O646" s="88">
        <f t="shared" si="276"/>
        <v>0</v>
      </c>
      <c r="P646" s="123" t="str">
        <f t="shared" si="260"/>
        <v/>
      </c>
      <c r="Q646" s="88">
        <f t="shared" si="277"/>
        <v>-3639962.77</v>
      </c>
      <c r="R646" s="123">
        <f t="shared" si="262"/>
        <v>0</v>
      </c>
      <c r="S646" s="88">
        <f t="shared" si="282"/>
        <v>0</v>
      </c>
      <c r="T646" s="123" t="str">
        <f t="shared" si="264"/>
        <v/>
      </c>
      <c r="U646" s="88">
        <f t="shared" si="283"/>
        <v>-3639962.77</v>
      </c>
      <c r="V646" s="123">
        <f t="shared" si="284"/>
        <v>0</v>
      </c>
      <c r="W646" s="157">
        <f t="shared" si="270"/>
        <v>11</v>
      </c>
    </row>
    <row r="647" spans="1:23" ht="11.25" customHeight="1" x14ac:dyDescent="0.25">
      <c r="A647" s="42" t="s">
        <v>1486</v>
      </c>
      <c r="B647" s="282">
        <f t="shared" si="267"/>
        <v>11</v>
      </c>
      <c r="C647" s="20"/>
      <c r="D647" s="20"/>
      <c r="E647" s="20"/>
      <c r="F647" s="373" t="s">
        <v>690</v>
      </c>
      <c r="G647" s="374"/>
      <c r="H647" s="11">
        <v>951433.19</v>
      </c>
      <c r="I647" s="11">
        <v>975786.14</v>
      </c>
      <c r="J647" s="336">
        <v>0</v>
      </c>
      <c r="K647" s="130">
        <v>0</v>
      </c>
      <c r="L647" s="141"/>
      <c r="O647" s="88">
        <f t="shared" si="276"/>
        <v>0</v>
      </c>
      <c r="P647" s="123" t="str">
        <f t="shared" si="260"/>
        <v/>
      </c>
      <c r="Q647" s="88">
        <f t="shared" si="277"/>
        <v>-975786.14</v>
      </c>
      <c r="R647" s="123">
        <f t="shared" si="262"/>
        <v>0</v>
      </c>
      <c r="S647" s="88">
        <f t="shared" si="282"/>
        <v>0</v>
      </c>
      <c r="T647" s="123" t="str">
        <f t="shared" si="264"/>
        <v/>
      </c>
      <c r="U647" s="88">
        <f t="shared" si="283"/>
        <v>-975786.14</v>
      </c>
      <c r="V647" s="123">
        <f t="shared" si="284"/>
        <v>0</v>
      </c>
      <c r="W647" s="157">
        <f t="shared" si="270"/>
        <v>11</v>
      </c>
    </row>
    <row r="648" spans="1:23" ht="11.25" customHeight="1" x14ac:dyDescent="0.25">
      <c r="A648" s="42" t="s">
        <v>1487</v>
      </c>
      <c r="B648" s="282">
        <f t="shared" si="267"/>
        <v>11</v>
      </c>
      <c r="C648" s="20"/>
      <c r="D648" s="20"/>
      <c r="E648" s="20"/>
      <c r="F648" s="373" t="s">
        <v>698</v>
      </c>
      <c r="G648" s="374"/>
      <c r="H648" s="11">
        <v>968300</v>
      </c>
      <c r="I648" s="11">
        <v>1148225</v>
      </c>
      <c r="J648" s="336">
        <v>0</v>
      </c>
      <c r="K648" s="130">
        <v>0</v>
      </c>
      <c r="L648" s="141"/>
      <c r="O648" s="88">
        <f t="shared" si="276"/>
        <v>0</v>
      </c>
      <c r="P648" s="123" t="str">
        <f t="shared" si="260"/>
        <v/>
      </c>
      <c r="Q648" s="88">
        <f t="shared" si="277"/>
        <v>-1148225</v>
      </c>
      <c r="R648" s="123">
        <f t="shared" si="262"/>
        <v>0</v>
      </c>
      <c r="S648" s="88">
        <f t="shared" si="282"/>
        <v>0</v>
      </c>
      <c r="T648" s="123" t="str">
        <f t="shared" si="264"/>
        <v/>
      </c>
      <c r="U648" s="88">
        <f t="shared" si="283"/>
        <v>-1148225</v>
      </c>
      <c r="V648" s="123">
        <f t="shared" si="284"/>
        <v>0</v>
      </c>
      <c r="W648" s="157">
        <f t="shared" si="270"/>
        <v>11</v>
      </c>
    </row>
    <row r="649" spans="1:23" ht="11.25" customHeight="1" x14ac:dyDescent="0.25">
      <c r="A649" s="42" t="s">
        <v>1488</v>
      </c>
      <c r="B649" s="282">
        <f t="shared" si="267"/>
        <v>11</v>
      </c>
      <c r="C649" s="20"/>
      <c r="D649" s="20"/>
      <c r="E649" s="20"/>
      <c r="F649" s="373" t="s">
        <v>699</v>
      </c>
      <c r="G649" s="374"/>
      <c r="H649" s="11">
        <v>3403251.53</v>
      </c>
      <c r="I649" s="11">
        <v>3595633.65</v>
      </c>
      <c r="J649" s="336">
        <v>0</v>
      </c>
      <c r="K649" s="130">
        <v>0</v>
      </c>
      <c r="L649" s="141"/>
      <c r="O649" s="88">
        <f t="shared" si="276"/>
        <v>0</v>
      </c>
      <c r="P649" s="123" t="str">
        <f t="shared" si="260"/>
        <v/>
      </c>
      <c r="Q649" s="88">
        <f t="shared" si="277"/>
        <v>-3595633.65</v>
      </c>
      <c r="R649" s="123">
        <f t="shared" si="262"/>
        <v>0</v>
      </c>
      <c r="S649" s="88">
        <f t="shared" si="282"/>
        <v>0</v>
      </c>
      <c r="T649" s="123" t="str">
        <f t="shared" si="264"/>
        <v/>
      </c>
      <c r="U649" s="88">
        <f t="shared" si="283"/>
        <v>-3595633.65</v>
      </c>
      <c r="V649" s="123">
        <f t="shared" si="284"/>
        <v>0</v>
      </c>
      <c r="W649" s="157">
        <f t="shared" si="270"/>
        <v>11</v>
      </c>
    </row>
    <row r="650" spans="1:23" ht="11.25" customHeight="1" x14ac:dyDescent="0.25">
      <c r="A650" s="42" t="s">
        <v>1489</v>
      </c>
      <c r="B650" s="282">
        <f t="shared" si="267"/>
        <v>11</v>
      </c>
      <c r="C650" s="20"/>
      <c r="D650" s="20"/>
      <c r="E650" s="20"/>
      <c r="F650" s="373" t="s">
        <v>691</v>
      </c>
      <c r="G650" s="374"/>
      <c r="H650" s="11">
        <v>4309379.38</v>
      </c>
      <c r="I650" s="11">
        <v>7835063.4100000104</v>
      </c>
      <c r="J650" s="336">
        <v>0</v>
      </c>
      <c r="K650" s="130">
        <v>0</v>
      </c>
      <c r="L650" s="141"/>
      <c r="O650" s="88">
        <f t="shared" si="276"/>
        <v>0</v>
      </c>
      <c r="P650" s="123" t="str">
        <f t="shared" si="260"/>
        <v/>
      </c>
      <c r="Q650" s="88">
        <f t="shared" si="277"/>
        <v>-7835063.4100000104</v>
      </c>
      <c r="R650" s="123">
        <f t="shared" si="262"/>
        <v>0</v>
      </c>
      <c r="S650" s="88">
        <f t="shared" si="282"/>
        <v>0</v>
      </c>
      <c r="T650" s="123" t="str">
        <f t="shared" si="264"/>
        <v/>
      </c>
      <c r="U650" s="88">
        <f t="shared" si="283"/>
        <v>-7835063.4100000104</v>
      </c>
      <c r="V650" s="123">
        <f t="shared" si="284"/>
        <v>0</v>
      </c>
      <c r="W650" s="157">
        <f t="shared" si="270"/>
        <v>11</v>
      </c>
    </row>
    <row r="651" spans="1:23" ht="11.25" customHeight="1" x14ac:dyDescent="0.25">
      <c r="A651" s="55" t="s">
        <v>1490</v>
      </c>
      <c r="B651" s="282">
        <f t="shared" si="267"/>
        <v>7</v>
      </c>
      <c r="C651" s="55"/>
      <c r="D651" s="53"/>
      <c r="E651" s="53"/>
      <c r="F651" s="381" t="s">
        <v>700</v>
      </c>
      <c r="G651" s="382"/>
      <c r="H651" s="54">
        <f t="shared" ref="H651:L651" si="288">SUM(H652:H653)</f>
        <v>4279802.38</v>
      </c>
      <c r="I651" s="54">
        <f t="shared" si="288"/>
        <v>4885249.4800000004</v>
      </c>
      <c r="J651" s="136">
        <f t="shared" si="288"/>
        <v>0</v>
      </c>
      <c r="K651" s="136">
        <f t="shared" si="288"/>
        <v>0</v>
      </c>
      <c r="L651" s="153">
        <f t="shared" si="288"/>
        <v>0</v>
      </c>
      <c r="O651" s="88">
        <f t="shared" si="276"/>
        <v>0</v>
      </c>
      <c r="P651" s="123" t="str">
        <f t="shared" ref="P651:P714" si="289">IF(J651=0,"",L651/J651)</f>
        <v/>
      </c>
      <c r="Q651" s="88">
        <f t="shared" si="277"/>
        <v>-4885249.4800000004</v>
      </c>
      <c r="R651" s="123">
        <f t="shared" ref="R651:R714" si="290">IF(I651=0,"",L651/I651)</f>
        <v>0</v>
      </c>
      <c r="S651" s="88">
        <f t="shared" si="282"/>
        <v>0</v>
      </c>
      <c r="T651" s="123" t="str">
        <f t="shared" si="264"/>
        <v/>
      </c>
      <c r="U651" s="88">
        <f t="shared" si="283"/>
        <v>-4885249.4800000004</v>
      </c>
      <c r="V651" s="123">
        <f t="shared" si="284"/>
        <v>0</v>
      </c>
      <c r="W651" s="157">
        <f t="shared" si="270"/>
        <v>7</v>
      </c>
    </row>
    <row r="652" spans="1:23" ht="11.25" customHeight="1" x14ac:dyDescent="0.25">
      <c r="A652" s="42" t="s">
        <v>1491</v>
      </c>
      <c r="B652" s="282">
        <f t="shared" ref="B652:B715" si="291">LEN(A652)</f>
        <v>11</v>
      </c>
      <c r="C652" s="20"/>
      <c r="D652" s="20"/>
      <c r="E652" s="20"/>
      <c r="F652" s="373" t="s">
        <v>701</v>
      </c>
      <c r="G652" s="374"/>
      <c r="H652" s="11">
        <v>10711.91</v>
      </c>
      <c r="I652" s="11">
        <v>4521.9799999999996</v>
      </c>
      <c r="J652" s="336">
        <v>0</v>
      </c>
      <c r="K652" s="130">
        <v>0</v>
      </c>
      <c r="L652" s="141"/>
      <c r="O652" s="88">
        <f t="shared" si="276"/>
        <v>0</v>
      </c>
      <c r="P652" s="123" t="str">
        <f t="shared" si="289"/>
        <v/>
      </c>
      <c r="Q652" s="88">
        <f t="shared" si="277"/>
        <v>-4521.9799999999996</v>
      </c>
      <c r="R652" s="123">
        <f t="shared" si="290"/>
        <v>0</v>
      </c>
      <c r="S652" s="88">
        <f t="shared" si="282"/>
        <v>0</v>
      </c>
      <c r="T652" s="123" t="str">
        <f t="shared" si="264"/>
        <v/>
      </c>
      <c r="U652" s="88">
        <f t="shared" si="283"/>
        <v>-4521.9799999999996</v>
      </c>
      <c r="V652" s="123">
        <f t="shared" si="284"/>
        <v>0</v>
      </c>
      <c r="W652" s="157">
        <f t="shared" si="270"/>
        <v>11</v>
      </c>
    </row>
    <row r="653" spans="1:23" ht="11.25" customHeight="1" x14ac:dyDescent="0.25">
      <c r="A653" s="42" t="s">
        <v>1492</v>
      </c>
      <c r="B653" s="282">
        <f t="shared" si="291"/>
        <v>11</v>
      </c>
      <c r="C653" s="20" t="s">
        <v>916</v>
      </c>
      <c r="D653" s="20" t="s">
        <v>920</v>
      </c>
      <c r="E653" s="20" t="s">
        <v>1523</v>
      </c>
      <c r="F653" s="373" t="s">
        <v>702</v>
      </c>
      <c r="G653" s="374"/>
      <c r="H653" s="11">
        <v>4269090.47</v>
      </c>
      <c r="I653" s="11">
        <v>4880727.5</v>
      </c>
      <c r="J653" s="336">
        <v>0</v>
      </c>
      <c r="K653" s="130">
        <v>0</v>
      </c>
      <c r="L653" s="141"/>
      <c r="O653" s="88">
        <f t="shared" si="276"/>
        <v>0</v>
      </c>
      <c r="P653" s="123" t="str">
        <f t="shared" si="289"/>
        <v/>
      </c>
      <c r="Q653" s="88">
        <f t="shared" si="277"/>
        <v>-4880727.5</v>
      </c>
      <c r="R653" s="123">
        <f t="shared" si="290"/>
        <v>0</v>
      </c>
      <c r="S653" s="88">
        <f t="shared" si="282"/>
        <v>0</v>
      </c>
      <c r="T653" s="123" t="str">
        <f t="shared" ref="T653:T716" si="292">IF(K653=0,"",L653/K653)</f>
        <v/>
      </c>
      <c r="U653" s="88">
        <f t="shared" si="283"/>
        <v>-4880727.5</v>
      </c>
      <c r="V653" s="123">
        <f t="shared" si="284"/>
        <v>0</v>
      </c>
      <c r="W653" s="157">
        <f t="shared" si="270"/>
        <v>11</v>
      </c>
    </row>
    <row r="654" spans="1:23" ht="11.25" customHeight="1" x14ac:dyDescent="0.25">
      <c r="A654" s="55" t="s">
        <v>1493</v>
      </c>
      <c r="B654" s="282">
        <f t="shared" si="291"/>
        <v>7</v>
      </c>
      <c r="C654" s="55"/>
      <c r="D654" s="53"/>
      <c r="E654" s="53"/>
      <c r="F654" s="381" t="s">
        <v>703</v>
      </c>
      <c r="G654" s="382"/>
      <c r="H654" s="54">
        <f t="shared" ref="H654:L654" si="293">SUM(H655:H658)</f>
        <v>36790000</v>
      </c>
      <c r="I654" s="54">
        <f t="shared" si="293"/>
        <v>-104900000</v>
      </c>
      <c r="J654" s="136">
        <f t="shared" si="293"/>
        <v>0</v>
      </c>
      <c r="K654" s="136">
        <f t="shared" si="293"/>
        <v>-16900000</v>
      </c>
      <c r="L654" s="153">
        <f t="shared" si="293"/>
        <v>0</v>
      </c>
      <c r="O654" s="88">
        <f t="shared" si="276"/>
        <v>0</v>
      </c>
      <c r="P654" s="123" t="str">
        <f t="shared" si="289"/>
        <v/>
      </c>
      <c r="Q654" s="88">
        <f t="shared" si="277"/>
        <v>104900000</v>
      </c>
      <c r="R654" s="123">
        <f t="shared" si="290"/>
        <v>0</v>
      </c>
      <c r="S654" s="88">
        <f t="shared" si="282"/>
        <v>16900000</v>
      </c>
      <c r="T654" s="123">
        <f t="shared" si="292"/>
        <v>0</v>
      </c>
      <c r="U654" s="88">
        <f t="shared" si="283"/>
        <v>88000000</v>
      </c>
      <c r="V654" s="123">
        <f t="shared" si="284"/>
        <v>0.16110581506196378</v>
      </c>
      <c r="W654" s="157">
        <f t="shared" si="270"/>
        <v>7</v>
      </c>
    </row>
    <row r="655" spans="1:23" ht="11.25" customHeight="1" x14ac:dyDescent="0.25">
      <c r="A655" s="42" t="s">
        <v>1494</v>
      </c>
      <c r="B655" s="282">
        <f t="shared" si="291"/>
        <v>11</v>
      </c>
      <c r="C655" s="20" t="s">
        <v>916</v>
      </c>
      <c r="D655" s="20" t="s">
        <v>920</v>
      </c>
      <c r="E655" s="20" t="s">
        <v>1523</v>
      </c>
      <c r="F655" s="373" t="s">
        <v>704</v>
      </c>
      <c r="G655" s="374"/>
      <c r="H655" s="11">
        <v>-43210000</v>
      </c>
      <c r="I655" s="11">
        <v>-70100000</v>
      </c>
      <c r="J655" s="336">
        <v>0</v>
      </c>
      <c r="K655" s="130">
        <v>24900000</v>
      </c>
      <c r="L655" s="141"/>
      <c r="O655" s="88">
        <f t="shared" si="276"/>
        <v>0</v>
      </c>
      <c r="P655" s="123" t="str">
        <f t="shared" si="289"/>
        <v/>
      </c>
      <c r="Q655" s="88">
        <f t="shared" si="277"/>
        <v>70100000</v>
      </c>
      <c r="R655" s="123">
        <f t="shared" si="290"/>
        <v>0</v>
      </c>
      <c r="S655" s="88">
        <f t="shared" si="282"/>
        <v>-24900000</v>
      </c>
      <c r="T655" s="123">
        <f t="shared" si="292"/>
        <v>0</v>
      </c>
      <c r="U655" s="88">
        <f t="shared" si="283"/>
        <v>95000000</v>
      </c>
      <c r="V655" s="123">
        <f t="shared" si="284"/>
        <v>-0.35520684736091296</v>
      </c>
      <c r="W655" s="157">
        <f t="shared" ref="W655:W718" si="294">LEN(A655)</f>
        <v>11</v>
      </c>
    </row>
    <row r="656" spans="1:23" ht="11.25" customHeight="1" x14ac:dyDescent="0.25">
      <c r="A656" s="42" t="s">
        <v>1644</v>
      </c>
      <c r="B656" s="282">
        <f t="shared" si="291"/>
        <v>11</v>
      </c>
      <c r="C656" s="21" t="s">
        <v>916</v>
      </c>
      <c r="D656" s="21" t="s">
        <v>920</v>
      </c>
      <c r="E656" s="21" t="s">
        <v>1523</v>
      </c>
      <c r="F656" s="387" t="s">
        <v>1647</v>
      </c>
      <c r="G656" s="388"/>
      <c r="H656" s="19"/>
      <c r="I656" s="19"/>
      <c r="J656" s="338"/>
      <c r="K656" s="131">
        <v>0</v>
      </c>
      <c r="L656" s="173"/>
      <c r="O656" s="88">
        <f t="shared" si="276"/>
        <v>0</v>
      </c>
      <c r="P656" s="123" t="str">
        <f t="shared" si="289"/>
        <v/>
      </c>
      <c r="Q656" s="88">
        <f t="shared" si="277"/>
        <v>0</v>
      </c>
      <c r="R656" s="123" t="str">
        <f t="shared" si="290"/>
        <v/>
      </c>
      <c r="S656" s="88">
        <f t="shared" si="282"/>
        <v>0</v>
      </c>
      <c r="T656" s="123" t="str">
        <f t="shared" si="292"/>
        <v/>
      </c>
      <c r="U656" s="88">
        <f t="shared" si="283"/>
        <v>0</v>
      </c>
      <c r="V656" s="123" t="str">
        <f t="shared" si="284"/>
        <v/>
      </c>
      <c r="W656" s="157">
        <f t="shared" si="294"/>
        <v>11</v>
      </c>
    </row>
    <row r="657" spans="1:23" ht="11.25" customHeight="1" x14ac:dyDescent="0.25">
      <c r="A657" s="42" t="s">
        <v>1645</v>
      </c>
      <c r="B657" s="282">
        <f t="shared" si="291"/>
        <v>11</v>
      </c>
      <c r="C657" s="21" t="s">
        <v>916</v>
      </c>
      <c r="D657" s="21" t="s">
        <v>920</v>
      </c>
      <c r="E657" s="21" t="s">
        <v>1523</v>
      </c>
      <c r="F657" s="387" t="s">
        <v>1646</v>
      </c>
      <c r="G657" s="388"/>
      <c r="H657" s="19"/>
      <c r="I657" s="19"/>
      <c r="J657" s="338"/>
      <c r="K657" s="131">
        <v>0</v>
      </c>
      <c r="L657" s="173"/>
      <c r="O657" s="88">
        <f t="shared" si="276"/>
        <v>0</v>
      </c>
      <c r="P657" s="123" t="str">
        <f t="shared" si="289"/>
        <v/>
      </c>
      <c r="Q657" s="88">
        <f t="shared" si="277"/>
        <v>0</v>
      </c>
      <c r="R657" s="123" t="str">
        <f t="shared" si="290"/>
        <v/>
      </c>
      <c r="S657" s="88">
        <f t="shared" si="282"/>
        <v>0</v>
      </c>
      <c r="T657" s="123" t="str">
        <f t="shared" si="292"/>
        <v/>
      </c>
      <c r="U657" s="88">
        <f t="shared" si="283"/>
        <v>0</v>
      </c>
      <c r="V657" s="123" t="str">
        <f t="shared" si="284"/>
        <v/>
      </c>
      <c r="W657" s="157">
        <f t="shared" si="294"/>
        <v>11</v>
      </c>
    </row>
    <row r="658" spans="1:23" ht="11.25" customHeight="1" x14ac:dyDescent="0.25">
      <c r="A658" s="42" t="s">
        <v>1495</v>
      </c>
      <c r="B658" s="282">
        <f t="shared" si="291"/>
        <v>11</v>
      </c>
      <c r="C658" s="20" t="s">
        <v>916</v>
      </c>
      <c r="D658" s="20" t="s">
        <v>920</v>
      </c>
      <c r="E658" s="20" t="s">
        <v>1523</v>
      </c>
      <c r="F658" s="373" t="s">
        <v>705</v>
      </c>
      <c r="G658" s="374"/>
      <c r="H658" s="11">
        <v>80000000</v>
      </c>
      <c r="I658" s="11">
        <v>-34800000</v>
      </c>
      <c r="J658" s="336">
        <v>0</v>
      </c>
      <c r="K658" s="130">
        <v>-41800000</v>
      </c>
      <c r="L658" s="141"/>
      <c r="O658" s="88">
        <f t="shared" si="276"/>
        <v>0</v>
      </c>
      <c r="P658" s="123" t="str">
        <f t="shared" si="289"/>
        <v/>
      </c>
      <c r="Q658" s="88">
        <f t="shared" si="277"/>
        <v>34800000</v>
      </c>
      <c r="R658" s="123">
        <f t="shared" si="290"/>
        <v>0</v>
      </c>
      <c r="S658" s="88">
        <f t="shared" si="282"/>
        <v>41800000</v>
      </c>
      <c r="T658" s="123">
        <f t="shared" si="292"/>
        <v>0</v>
      </c>
      <c r="U658" s="88">
        <f t="shared" si="283"/>
        <v>-7000000</v>
      </c>
      <c r="V658" s="123">
        <f t="shared" si="284"/>
        <v>1.2011494252873562</v>
      </c>
      <c r="W658" s="157">
        <f t="shared" si="294"/>
        <v>11</v>
      </c>
    </row>
    <row r="659" spans="1:23" ht="11.25" customHeight="1" x14ac:dyDescent="0.25">
      <c r="A659" s="55" t="s">
        <v>1496</v>
      </c>
      <c r="B659" s="282">
        <f t="shared" si="291"/>
        <v>7</v>
      </c>
      <c r="C659" s="55"/>
      <c r="D659" s="53"/>
      <c r="E659" s="53"/>
      <c r="F659" s="381" t="s">
        <v>706</v>
      </c>
      <c r="G659" s="382"/>
      <c r="H659" s="54">
        <f t="shared" ref="H659:L659" si="295">SUM(H660:H661)</f>
        <v>-173859.61</v>
      </c>
      <c r="I659" s="54">
        <f t="shared" si="295"/>
        <v>-241117.3</v>
      </c>
      <c r="J659" s="136">
        <f t="shared" si="295"/>
        <v>0</v>
      </c>
      <c r="K659" s="136">
        <f t="shared" si="295"/>
        <v>-177350.38</v>
      </c>
      <c r="L659" s="153">
        <f t="shared" si="295"/>
        <v>0</v>
      </c>
      <c r="O659" s="88">
        <f t="shared" si="276"/>
        <v>0</v>
      </c>
      <c r="P659" s="123" t="str">
        <f t="shared" si="289"/>
        <v/>
      </c>
      <c r="Q659" s="88">
        <f t="shared" si="277"/>
        <v>241117.3</v>
      </c>
      <c r="R659" s="123">
        <f t="shared" si="290"/>
        <v>0</v>
      </c>
      <c r="S659" s="88">
        <f t="shared" si="282"/>
        <v>177350.38</v>
      </c>
      <c r="T659" s="123">
        <f t="shared" si="292"/>
        <v>0</v>
      </c>
      <c r="U659" s="88">
        <f t="shared" si="283"/>
        <v>63766.919999999984</v>
      </c>
      <c r="V659" s="123">
        <f t="shared" si="284"/>
        <v>0.73553569154929987</v>
      </c>
      <c r="W659" s="157">
        <f t="shared" si="294"/>
        <v>7</v>
      </c>
    </row>
    <row r="660" spans="1:23" ht="11.25" customHeight="1" x14ac:dyDescent="0.25">
      <c r="A660" s="42" t="s">
        <v>1497</v>
      </c>
      <c r="B660" s="282">
        <f t="shared" si="291"/>
        <v>11</v>
      </c>
      <c r="C660" s="20" t="s">
        <v>916</v>
      </c>
      <c r="D660" s="20" t="s">
        <v>920</v>
      </c>
      <c r="E660" s="20" t="s">
        <v>1523</v>
      </c>
      <c r="F660" s="373" t="s">
        <v>707</v>
      </c>
      <c r="G660" s="374"/>
      <c r="H660" s="11">
        <v>-5516.4</v>
      </c>
      <c r="I660" s="11">
        <v>-5862.53</v>
      </c>
      <c r="J660" s="336">
        <v>0</v>
      </c>
      <c r="K660" s="130">
        <v>-177350.38</v>
      </c>
      <c r="L660" s="141"/>
      <c r="O660" s="88">
        <f t="shared" si="276"/>
        <v>0</v>
      </c>
      <c r="P660" s="123" t="str">
        <f t="shared" si="289"/>
        <v/>
      </c>
      <c r="Q660" s="88">
        <f t="shared" si="277"/>
        <v>5862.53</v>
      </c>
      <c r="R660" s="123">
        <f t="shared" si="290"/>
        <v>0</v>
      </c>
      <c r="S660" s="88">
        <f t="shared" si="282"/>
        <v>177350.38</v>
      </c>
      <c r="T660" s="123">
        <f t="shared" si="292"/>
        <v>0</v>
      </c>
      <c r="U660" s="88">
        <f t="shared" si="283"/>
        <v>-171487.85</v>
      </c>
      <c r="V660" s="123">
        <f t="shared" si="284"/>
        <v>30.251509160720715</v>
      </c>
      <c r="W660" s="157">
        <f t="shared" si="294"/>
        <v>11</v>
      </c>
    </row>
    <row r="661" spans="1:23" ht="11.25" customHeight="1" x14ac:dyDescent="0.25">
      <c r="A661" s="42" t="s">
        <v>1498</v>
      </c>
      <c r="B661" s="282">
        <f t="shared" si="291"/>
        <v>11</v>
      </c>
      <c r="C661" s="14"/>
      <c r="D661" s="13"/>
      <c r="E661" s="13"/>
      <c r="F661" s="373" t="s">
        <v>708</v>
      </c>
      <c r="G661" s="374"/>
      <c r="H661" s="11">
        <v>-168343.21</v>
      </c>
      <c r="I661" s="11">
        <v>-235254.77</v>
      </c>
      <c r="J661" s="336">
        <v>0</v>
      </c>
      <c r="K661" s="130">
        <v>0</v>
      </c>
      <c r="L661" s="141"/>
      <c r="O661" s="88">
        <f t="shared" si="276"/>
        <v>0</v>
      </c>
      <c r="P661" s="123" t="str">
        <f t="shared" si="289"/>
        <v/>
      </c>
      <c r="Q661" s="88">
        <f t="shared" si="277"/>
        <v>235254.77</v>
      </c>
      <c r="R661" s="123">
        <f t="shared" si="290"/>
        <v>0</v>
      </c>
      <c r="S661" s="88">
        <f t="shared" si="282"/>
        <v>0</v>
      </c>
      <c r="T661" s="123" t="str">
        <f t="shared" si="292"/>
        <v/>
      </c>
      <c r="U661" s="88">
        <f t="shared" si="283"/>
        <v>235254.77</v>
      </c>
      <c r="V661" s="123">
        <f t="shared" si="284"/>
        <v>0</v>
      </c>
      <c r="W661" s="157">
        <f t="shared" si="294"/>
        <v>11</v>
      </c>
    </row>
    <row r="662" spans="1:23" ht="11.25" customHeight="1" x14ac:dyDescent="0.25">
      <c r="A662" s="55" t="s">
        <v>1499</v>
      </c>
      <c r="B662" s="282">
        <f t="shared" si="291"/>
        <v>7</v>
      </c>
      <c r="C662" s="55"/>
      <c r="D662" s="53"/>
      <c r="E662" s="53"/>
      <c r="F662" s="381" t="s">
        <v>709</v>
      </c>
      <c r="G662" s="382"/>
      <c r="H662" s="54">
        <f t="shared" ref="H662:L662" si="296">SUM(H663)</f>
        <v>1304123.3799999999</v>
      </c>
      <c r="I662" s="54">
        <f t="shared" si="296"/>
        <v>964162.82</v>
      </c>
      <c r="J662" s="136">
        <f t="shared" si="296"/>
        <v>999723.93720356096</v>
      </c>
      <c r="K662" s="136">
        <f t="shared" si="296"/>
        <v>1042590.66</v>
      </c>
      <c r="L662" s="153">
        <f t="shared" si="296"/>
        <v>0</v>
      </c>
      <c r="O662" s="88">
        <f t="shared" si="276"/>
        <v>-999723.93720356096</v>
      </c>
      <c r="P662" s="123">
        <f t="shared" si="289"/>
        <v>0</v>
      </c>
      <c r="Q662" s="88">
        <f t="shared" si="277"/>
        <v>-964162.82</v>
      </c>
      <c r="R662" s="123">
        <f t="shared" si="290"/>
        <v>0</v>
      </c>
      <c r="S662" s="88">
        <f t="shared" si="282"/>
        <v>-1042590.66</v>
      </c>
      <c r="T662" s="123">
        <f t="shared" si="292"/>
        <v>0</v>
      </c>
      <c r="U662" s="88">
        <f t="shared" si="283"/>
        <v>78427.840000000084</v>
      </c>
      <c r="V662" s="123">
        <f t="shared" si="284"/>
        <v>1.0813429416413298</v>
      </c>
      <c r="W662" s="157">
        <f t="shared" si="294"/>
        <v>7</v>
      </c>
    </row>
    <row r="663" spans="1:23" ht="11.25" customHeight="1" x14ac:dyDescent="0.25">
      <c r="A663" s="42" t="s">
        <v>1500</v>
      </c>
      <c r="B663" s="282">
        <f t="shared" si="291"/>
        <v>11</v>
      </c>
      <c r="C663" s="20" t="s">
        <v>916</v>
      </c>
      <c r="D663" s="20" t="s">
        <v>920</v>
      </c>
      <c r="E663" s="20" t="s">
        <v>1523</v>
      </c>
      <c r="F663" s="373" t="s">
        <v>710</v>
      </c>
      <c r="G663" s="374"/>
      <c r="H663" s="11">
        <v>1304123.3799999999</v>
      </c>
      <c r="I663" s="11">
        <v>964162.82</v>
      </c>
      <c r="J663" s="336">
        <v>999723.93720356096</v>
      </c>
      <c r="K663" s="130">
        <v>1042590.66</v>
      </c>
      <c r="L663" s="141"/>
      <c r="O663" s="88">
        <f t="shared" si="276"/>
        <v>-999723.93720356096</v>
      </c>
      <c r="P663" s="123">
        <f t="shared" si="289"/>
        <v>0</v>
      </c>
      <c r="Q663" s="88">
        <f t="shared" si="277"/>
        <v>-964162.82</v>
      </c>
      <c r="R663" s="123">
        <f t="shared" si="290"/>
        <v>0</v>
      </c>
      <c r="S663" s="88">
        <f t="shared" si="282"/>
        <v>-1042590.66</v>
      </c>
      <c r="T663" s="123">
        <f t="shared" si="292"/>
        <v>0</v>
      </c>
      <c r="U663" s="88">
        <f t="shared" si="283"/>
        <v>78427.840000000084</v>
      </c>
      <c r="V663" s="123">
        <f t="shared" si="284"/>
        <v>1.0813429416413298</v>
      </c>
      <c r="W663" s="157">
        <f t="shared" si="294"/>
        <v>11</v>
      </c>
    </row>
    <row r="664" spans="1:23" ht="11.25" customHeight="1" x14ac:dyDescent="0.25">
      <c r="A664" s="55" t="s">
        <v>1501</v>
      </c>
      <c r="B664" s="282">
        <f t="shared" si="291"/>
        <v>7</v>
      </c>
      <c r="C664" s="55"/>
      <c r="D664" s="53"/>
      <c r="E664" s="53"/>
      <c r="F664" s="381" t="s">
        <v>711</v>
      </c>
      <c r="G664" s="382"/>
      <c r="H664" s="54">
        <f t="shared" ref="H664:L664" si="297">SUM(H665:H669)</f>
        <v>5038052548</v>
      </c>
      <c r="I664" s="54">
        <f t="shared" si="297"/>
        <v>5566810265.0000105</v>
      </c>
      <c r="J664" s="136">
        <f t="shared" si="297"/>
        <v>6012900183.3344698</v>
      </c>
      <c r="K664" s="182">
        <f t="shared" si="297"/>
        <v>6064947389</v>
      </c>
      <c r="L664" s="153">
        <f t="shared" si="297"/>
        <v>6766800433</v>
      </c>
      <c r="M664" s="104">
        <f>6742+33</f>
        <v>6775</v>
      </c>
      <c r="O664" s="88">
        <f t="shared" si="276"/>
        <v>753900249.6655302</v>
      </c>
      <c r="P664" s="123">
        <f t="shared" si="289"/>
        <v>1.1253804697698229</v>
      </c>
      <c r="Q664" s="88">
        <f t="shared" si="277"/>
        <v>1199990167.9999895</v>
      </c>
      <c r="R664" s="123">
        <f t="shared" si="290"/>
        <v>1.2155615353993006</v>
      </c>
      <c r="S664" s="88">
        <f t="shared" si="282"/>
        <v>701853044</v>
      </c>
      <c r="T664" s="123">
        <f t="shared" si="292"/>
        <v>1.1157228577568457</v>
      </c>
      <c r="U664" s="88">
        <f t="shared" si="283"/>
        <v>498137123.99998951</v>
      </c>
      <c r="V664" s="123">
        <f t="shared" si="284"/>
        <v>1.0894834025747038</v>
      </c>
      <c r="W664" s="157">
        <f t="shared" si="294"/>
        <v>7</v>
      </c>
    </row>
    <row r="665" spans="1:23" ht="11.25" customHeight="1" x14ac:dyDescent="0.25">
      <c r="A665" s="42" t="s">
        <v>1502</v>
      </c>
      <c r="B665" s="282">
        <f t="shared" si="291"/>
        <v>11</v>
      </c>
      <c r="C665" s="20" t="s">
        <v>916</v>
      </c>
      <c r="D665" s="20" t="s">
        <v>920</v>
      </c>
      <c r="E665" s="20" t="s">
        <v>1523</v>
      </c>
      <c r="F665" s="373" t="s">
        <v>712</v>
      </c>
      <c r="G665" s="374"/>
      <c r="H665" s="11">
        <v>2254460950.5799999</v>
      </c>
      <c r="I665" s="11">
        <v>2452610875.4300098</v>
      </c>
      <c r="J665" s="336">
        <v>4906219183.3344698</v>
      </c>
      <c r="K665" s="130">
        <v>4855202842.4899998</v>
      </c>
      <c r="L665" s="142">
        <f>6742000000+33000000-20000000-L666+32400000+3500000-24099567</f>
        <v>5416800433</v>
      </c>
      <c r="O665" s="88">
        <f t="shared" si="276"/>
        <v>510581249.6655302</v>
      </c>
      <c r="P665" s="123">
        <f t="shared" si="289"/>
        <v>1.1040681695183701</v>
      </c>
      <c r="Q665" s="88">
        <f t="shared" si="277"/>
        <v>2964189557.5699902</v>
      </c>
      <c r="R665" s="123">
        <f t="shared" si="290"/>
        <v>2.2085853435883043</v>
      </c>
      <c r="S665" s="88">
        <f t="shared" si="282"/>
        <v>561597590.51000023</v>
      </c>
      <c r="T665" s="123">
        <f t="shared" si="292"/>
        <v>1.1156692333418523</v>
      </c>
      <c r="U665" s="88">
        <f t="shared" si="283"/>
        <v>2402591967.0599899</v>
      </c>
      <c r="V665" s="123">
        <f t="shared" si="284"/>
        <v>1.9796058523302233</v>
      </c>
      <c r="W665" s="157">
        <f t="shared" si="294"/>
        <v>11</v>
      </c>
    </row>
    <row r="666" spans="1:23" ht="11.25" customHeight="1" x14ac:dyDescent="0.25">
      <c r="A666" s="42" t="s">
        <v>1503</v>
      </c>
      <c r="B666" s="282">
        <f t="shared" si="291"/>
        <v>11</v>
      </c>
      <c r="C666" s="20" t="s">
        <v>916</v>
      </c>
      <c r="D666" s="20" t="s">
        <v>920</v>
      </c>
      <c r="E666" s="20" t="s">
        <v>1523</v>
      </c>
      <c r="F666" s="373" t="s">
        <v>713</v>
      </c>
      <c r="G666" s="374"/>
      <c r="H666" s="11">
        <v>488751281.42000002</v>
      </c>
      <c r="I666" s="11">
        <v>556677020.57000005</v>
      </c>
      <c r="J666" s="336">
        <v>1106681000</v>
      </c>
      <c r="K666" s="130">
        <v>1209744546.51</v>
      </c>
      <c r="L666" s="145">
        <v>1350000000</v>
      </c>
      <c r="M666" s="104">
        <f>5633-5566</f>
        <v>67</v>
      </c>
      <c r="O666" s="88">
        <f t="shared" si="276"/>
        <v>243319000</v>
      </c>
      <c r="P666" s="123">
        <f t="shared" si="289"/>
        <v>1.2198637186325598</v>
      </c>
      <c r="Q666" s="88">
        <f t="shared" si="277"/>
        <v>793322979.42999995</v>
      </c>
      <c r="R666" s="123">
        <f t="shared" si="290"/>
        <v>2.4251045940744782</v>
      </c>
      <c r="S666" s="88">
        <f t="shared" si="282"/>
        <v>140255453.49000001</v>
      </c>
      <c r="T666" s="123">
        <f t="shared" si="292"/>
        <v>1.1159380746080847</v>
      </c>
      <c r="U666" s="88">
        <f t="shared" si="283"/>
        <v>653067525.93999994</v>
      </c>
      <c r="V666" s="123">
        <f t="shared" si="284"/>
        <v>2.1731533758503314</v>
      </c>
      <c r="W666" s="157">
        <f t="shared" si="294"/>
        <v>11</v>
      </c>
    </row>
    <row r="667" spans="1:23" ht="11.25" customHeight="1" x14ac:dyDescent="0.25">
      <c r="A667" s="42" t="s">
        <v>1504</v>
      </c>
      <c r="B667" s="282">
        <f t="shared" si="291"/>
        <v>11</v>
      </c>
      <c r="C667" s="20"/>
      <c r="D667" s="20"/>
      <c r="E667" s="20"/>
      <c r="F667" s="373" t="s">
        <v>714</v>
      </c>
      <c r="G667" s="374"/>
      <c r="H667" s="11">
        <v>1923309130.5</v>
      </c>
      <c r="I667" s="11">
        <v>2130169635.24</v>
      </c>
      <c r="J667" s="336">
        <v>0</v>
      </c>
      <c r="K667" s="130">
        <v>0</v>
      </c>
      <c r="L667" s="141"/>
      <c r="O667" s="88">
        <f t="shared" si="276"/>
        <v>0</v>
      </c>
      <c r="P667" s="123" t="str">
        <f t="shared" si="289"/>
        <v/>
      </c>
      <c r="Q667" s="88">
        <f t="shared" si="277"/>
        <v>-2130169635.24</v>
      </c>
      <c r="R667" s="123">
        <f t="shared" si="290"/>
        <v>0</v>
      </c>
      <c r="S667" s="88">
        <f t="shared" si="282"/>
        <v>0</v>
      </c>
      <c r="T667" s="123" t="str">
        <f t="shared" si="292"/>
        <v/>
      </c>
      <c r="U667" s="88">
        <f t="shared" si="283"/>
        <v>-2130169635.24</v>
      </c>
      <c r="V667" s="123">
        <f t="shared" si="284"/>
        <v>0</v>
      </c>
      <c r="W667" s="157">
        <f t="shared" si="294"/>
        <v>11</v>
      </c>
    </row>
    <row r="668" spans="1:23" ht="11.25" customHeight="1" x14ac:dyDescent="0.25">
      <c r="A668" s="42" t="s">
        <v>1505</v>
      </c>
      <c r="B668" s="282">
        <f t="shared" si="291"/>
        <v>11</v>
      </c>
      <c r="C668" s="14"/>
      <c r="D668" s="13"/>
      <c r="E668" s="13"/>
      <c r="F668" s="373" t="s">
        <v>715</v>
      </c>
      <c r="G668" s="374"/>
      <c r="H668" s="11">
        <v>4295088</v>
      </c>
      <c r="I668" s="11">
        <v>5016925</v>
      </c>
      <c r="J668" s="336">
        <v>0</v>
      </c>
      <c r="K668" s="130">
        <v>0</v>
      </c>
      <c r="L668" s="141"/>
      <c r="O668" s="88">
        <f t="shared" si="276"/>
        <v>0</v>
      </c>
      <c r="P668" s="123" t="str">
        <f t="shared" si="289"/>
        <v/>
      </c>
      <c r="Q668" s="88">
        <f t="shared" si="277"/>
        <v>-5016925</v>
      </c>
      <c r="R668" s="123">
        <f t="shared" si="290"/>
        <v>0</v>
      </c>
      <c r="S668" s="88">
        <f t="shared" si="282"/>
        <v>0</v>
      </c>
      <c r="T668" s="123" t="str">
        <f t="shared" si="292"/>
        <v/>
      </c>
      <c r="U668" s="88">
        <f t="shared" si="283"/>
        <v>-5016925</v>
      </c>
      <c r="V668" s="123">
        <f t="shared" si="284"/>
        <v>0</v>
      </c>
      <c r="W668" s="157">
        <f t="shared" si="294"/>
        <v>11</v>
      </c>
    </row>
    <row r="669" spans="1:23" ht="11.25" customHeight="1" x14ac:dyDescent="0.25">
      <c r="A669" s="42" t="s">
        <v>1506</v>
      </c>
      <c r="B669" s="282">
        <f t="shared" si="291"/>
        <v>11</v>
      </c>
      <c r="C669" s="20"/>
      <c r="D669" s="20"/>
      <c r="E669" s="20"/>
      <c r="F669" s="373" t="s">
        <v>716</v>
      </c>
      <c r="G669" s="374"/>
      <c r="H669" s="11">
        <v>367236097.5</v>
      </c>
      <c r="I669" s="11">
        <v>422335808.75999999</v>
      </c>
      <c r="J669" s="336">
        <v>0</v>
      </c>
      <c r="K669" s="130">
        <v>0</v>
      </c>
      <c r="L669" s="141"/>
      <c r="O669" s="88">
        <f t="shared" si="276"/>
        <v>0</v>
      </c>
      <c r="P669" s="123" t="str">
        <f t="shared" si="289"/>
        <v/>
      </c>
      <c r="Q669" s="88">
        <f t="shared" si="277"/>
        <v>-422335808.75999999</v>
      </c>
      <c r="R669" s="123">
        <f t="shared" si="290"/>
        <v>0</v>
      </c>
      <c r="S669" s="88">
        <f t="shared" si="282"/>
        <v>0</v>
      </c>
      <c r="T669" s="123" t="str">
        <f t="shared" si="292"/>
        <v/>
      </c>
      <c r="U669" s="88">
        <f t="shared" si="283"/>
        <v>-422335808.75999999</v>
      </c>
      <c r="V669" s="123">
        <f t="shared" si="284"/>
        <v>0</v>
      </c>
      <c r="W669" s="157">
        <f t="shared" si="294"/>
        <v>11</v>
      </c>
    </row>
    <row r="670" spans="1:23" ht="11.25" customHeight="1" x14ac:dyDescent="0.25">
      <c r="A670" s="55" t="s">
        <v>1507</v>
      </c>
      <c r="B670" s="282">
        <f t="shared" si="291"/>
        <v>7</v>
      </c>
      <c r="C670" s="55"/>
      <c r="D670" s="53"/>
      <c r="E670" s="53"/>
      <c r="F670" s="381" t="s">
        <v>717</v>
      </c>
      <c r="G670" s="382"/>
      <c r="H670" s="54">
        <f t="shared" ref="H670:L670" si="298">SUM(H671:H672)</f>
        <v>88150464.579999998</v>
      </c>
      <c r="I670" s="54">
        <f t="shared" si="298"/>
        <v>208340147.75999999</v>
      </c>
      <c r="J670" s="136">
        <f t="shared" si="298"/>
        <v>0</v>
      </c>
      <c r="K670" s="136">
        <f t="shared" si="298"/>
        <v>209866882.97999999</v>
      </c>
      <c r="L670" s="153">
        <f t="shared" si="298"/>
        <v>0</v>
      </c>
      <c r="O670" s="88">
        <f t="shared" si="276"/>
        <v>0</v>
      </c>
      <c r="P670" s="123" t="str">
        <f t="shared" si="289"/>
        <v/>
      </c>
      <c r="Q670" s="88">
        <f t="shared" si="277"/>
        <v>-208340147.75999999</v>
      </c>
      <c r="R670" s="123">
        <f t="shared" si="290"/>
        <v>0</v>
      </c>
      <c r="S670" s="88">
        <f t="shared" si="282"/>
        <v>-209866882.97999999</v>
      </c>
      <c r="T670" s="123">
        <f t="shared" si="292"/>
        <v>0</v>
      </c>
      <c r="U670" s="88">
        <f t="shared" si="283"/>
        <v>1526735.2199999988</v>
      </c>
      <c r="V670" s="123">
        <f t="shared" si="284"/>
        <v>1.0073280893597079</v>
      </c>
      <c r="W670" s="157">
        <f t="shared" si="294"/>
        <v>7</v>
      </c>
    </row>
    <row r="671" spans="1:23" ht="11.25" customHeight="1" x14ac:dyDescent="0.25">
      <c r="A671" s="42" t="s">
        <v>1508</v>
      </c>
      <c r="B671" s="282">
        <f t="shared" si="291"/>
        <v>11</v>
      </c>
      <c r="C671" s="20" t="s">
        <v>916</v>
      </c>
      <c r="D671" s="20" t="s">
        <v>920</v>
      </c>
      <c r="E671" s="20" t="s">
        <v>1523</v>
      </c>
      <c r="F671" s="373" t="s">
        <v>718</v>
      </c>
      <c r="G671" s="374"/>
      <c r="H671" s="11">
        <v>22471793.149999999</v>
      </c>
      <c r="I671" s="11">
        <v>136361971.75999999</v>
      </c>
      <c r="J671" s="336">
        <v>0</v>
      </c>
      <c r="K671" s="130">
        <v>209866882.97999999</v>
      </c>
      <c r="L671" s="141"/>
      <c r="O671" s="88">
        <f t="shared" si="276"/>
        <v>0</v>
      </c>
      <c r="P671" s="123" t="str">
        <f t="shared" si="289"/>
        <v/>
      </c>
      <c r="Q671" s="88">
        <f t="shared" si="277"/>
        <v>-136361971.75999999</v>
      </c>
      <c r="R671" s="123">
        <f t="shared" si="290"/>
        <v>0</v>
      </c>
      <c r="S671" s="88">
        <f t="shared" si="282"/>
        <v>-209866882.97999999</v>
      </c>
      <c r="T671" s="123">
        <f t="shared" si="292"/>
        <v>0</v>
      </c>
      <c r="U671" s="88">
        <f t="shared" si="283"/>
        <v>73504911.219999999</v>
      </c>
      <c r="V671" s="123">
        <f t="shared" si="284"/>
        <v>1.5390425957566105</v>
      </c>
      <c r="W671" s="157">
        <f t="shared" si="294"/>
        <v>11</v>
      </c>
    </row>
    <row r="672" spans="1:23" ht="11.25" customHeight="1" x14ac:dyDescent="0.25">
      <c r="A672" s="42" t="s">
        <v>1509</v>
      </c>
      <c r="B672" s="282">
        <f t="shared" si="291"/>
        <v>11</v>
      </c>
      <c r="C672" s="14"/>
      <c r="D672" s="13"/>
      <c r="E672" s="13"/>
      <c r="F672" s="373" t="s">
        <v>719</v>
      </c>
      <c r="G672" s="374"/>
      <c r="H672" s="11">
        <v>65678671.43</v>
      </c>
      <c r="I672" s="11">
        <v>71978176</v>
      </c>
      <c r="J672" s="336">
        <v>0</v>
      </c>
      <c r="K672" s="130">
        <v>0</v>
      </c>
      <c r="L672" s="141"/>
      <c r="O672" s="88">
        <f t="shared" si="276"/>
        <v>0</v>
      </c>
      <c r="P672" s="123" t="str">
        <f t="shared" si="289"/>
        <v/>
      </c>
      <c r="Q672" s="88">
        <f t="shared" si="277"/>
        <v>-71978176</v>
      </c>
      <c r="R672" s="123">
        <f t="shared" si="290"/>
        <v>0</v>
      </c>
      <c r="S672" s="88">
        <f t="shared" si="282"/>
        <v>0</v>
      </c>
      <c r="T672" s="123" t="str">
        <f t="shared" si="292"/>
        <v/>
      </c>
      <c r="U672" s="88">
        <f t="shared" si="283"/>
        <v>-71978176</v>
      </c>
      <c r="V672" s="123">
        <f t="shared" si="284"/>
        <v>0</v>
      </c>
      <c r="W672" s="157">
        <f t="shared" si="294"/>
        <v>11</v>
      </c>
    </row>
    <row r="673" spans="1:23" ht="11.25" customHeight="1" x14ac:dyDescent="0.25">
      <c r="A673" s="51" t="s">
        <v>720</v>
      </c>
      <c r="B673" s="282">
        <f t="shared" si="291"/>
        <v>4</v>
      </c>
      <c r="C673" s="51"/>
      <c r="D673" s="49"/>
      <c r="E673" s="49"/>
      <c r="F673" s="395" t="s">
        <v>1957</v>
      </c>
      <c r="G673" s="396"/>
      <c r="H673" s="50">
        <f t="shared" ref="H673:L673" si="299">H674+H677</f>
        <v>377757773.86999995</v>
      </c>
      <c r="I673" s="50">
        <f t="shared" si="299"/>
        <v>412942426.13000005</v>
      </c>
      <c r="J673" s="135">
        <f t="shared" si="299"/>
        <v>430369000</v>
      </c>
      <c r="K673" s="346">
        <f t="shared" si="299"/>
        <v>436491481.22999996</v>
      </c>
      <c r="L673" s="152">
        <f t="shared" si="299"/>
        <v>454304005.24149996</v>
      </c>
      <c r="M673" s="185">
        <v>0.05</v>
      </c>
      <c r="N673" s="185"/>
      <c r="O673" s="178">
        <f t="shared" si="276"/>
        <v>23935005.24149996</v>
      </c>
      <c r="P673" s="179">
        <f t="shared" si="289"/>
        <v>1.0556150773905648</v>
      </c>
      <c r="Q673" s="178">
        <f t="shared" si="277"/>
        <v>41361579.111499906</v>
      </c>
      <c r="R673" s="179">
        <f t="shared" si="290"/>
        <v>1.1001630651011836</v>
      </c>
      <c r="S673" s="178">
        <f t="shared" si="282"/>
        <v>17812524.011500001</v>
      </c>
      <c r="T673" s="179">
        <f t="shared" si="292"/>
        <v>1.0408084115669467</v>
      </c>
      <c r="U673" s="178">
        <f t="shared" si="283"/>
        <v>23549055.099999905</v>
      </c>
      <c r="V673" s="179">
        <f t="shared" si="284"/>
        <v>1.0570274537317372</v>
      </c>
      <c r="W673" s="157">
        <f t="shared" si="294"/>
        <v>4</v>
      </c>
    </row>
    <row r="674" spans="1:23" ht="11.25" customHeight="1" x14ac:dyDescent="0.25">
      <c r="A674" s="55" t="s">
        <v>1510</v>
      </c>
      <c r="B674" s="282">
        <f t="shared" si="291"/>
        <v>7</v>
      </c>
      <c r="C674" s="55"/>
      <c r="D674" s="53"/>
      <c r="E674" s="53"/>
      <c r="F674" s="381" t="s">
        <v>722</v>
      </c>
      <c r="G674" s="382"/>
      <c r="H674" s="54">
        <f t="shared" ref="H674:L674" si="300">SUM(H675:H676)</f>
        <v>2565334.52</v>
      </c>
      <c r="I674" s="54">
        <f t="shared" si="300"/>
        <v>4228457.8500000006</v>
      </c>
      <c r="J674" s="136">
        <f t="shared" si="300"/>
        <v>4468999.9999999804</v>
      </c>
      <c r="K674" s="136">
        <f t="shared" si="300"/>
        <v>4643151.75</v>
      </c>
      <c r="L674" s="153">
        <f t="shared" si="300"/>
        <v>4547000</v>
      </c>
      <c r="O674" s="88">
        <f t="shared" si="276"/>
        <v>78000.000000019558</v>
      </c>
      <c r="P674" s="123">
        <f t="shared" si="289"/>
        <v>1.0174535690311075</v>
      </c>
      <c r="Q674" s="88">
        <f t="shared" si="277"/>
        <v>318542.14999999944</v>
      </c>
      <c r="R674" s="123">
        <f t="shared" si="290"/>
        <v>1.0753329372787763</v>
      </c>
      <c r="S674" s="88">
        <f t="shared" si="282"/>
        <v>-96151.75</v>
      </c>
      <c r="T674" s="123">
        <f t="shared" si="292"/>
        <v>0.9792917063285731</v>
      </c>
      <c r="U674" s="88">
        <f t="shared" si="283"/>
        <v>414693.89999999944</v>
      </c>
      <c r="V674" s="123">
        <f t="shared" si="284"/>
        <v>1.098072137576114</v>
      </c>
      <c r="W674" s="157">
        <f t="shared" si="294"/>
        <v>7</v>
      </c>
    </row>
    <row r="675" spans="1:23" ht="11.25" customHeight="1" x14ac:dyDescent="0.25">
      <c r="A675" s="42" t="s">
        <v>1511</v>
      </c>
      <c r="B675" s="282">
        <f t="shared" si="291"/>
        <v>11</v>
      </c>
      <c r="C675" s="27" t="s">
        <v>916</v>
      </c>
      <c r="D675" s="28" t="s">
        <v>923</v>
      </c>
      <c r="E675" s="28" t="s">
        <v>917</v>
      </c>
      <c r="F675" s="373" t="s">
        <v>723</v>
      </c>
      <c r="G675" s="374"/>
      <c r="H675" s="11">
        <v>2376387.29</v>
      </c>
      <c r="I675" s="11">
        <v>3999993.62</v>
      </c>
      <c r="J675" s="336">
        <v>4153999.9999999902</v>
      </c>
      <c r="K675" s="130">
        <v>4423828.74</v>
      </c>
      <c r="L675" s="142">
        <f>3297000+1010000</f>
        <v>4307000</v>
      </c>
      <c r="O675" s="88">
        <f t="shared" si="276"/>
        <v>153000.00000000978</v>
      </c>
      <c r="P675" s="123">
        <f t="shared" si="289"/>
        <v>1.0368319691863288</v>
      </c>
      <c r="Q675" s="88">
        <f t="shared" si="277"/>
        <v>307006.37999999989</v>
      </c>
      <c r="R675" s="123">
        <f t="shared" si="290"/>
        <v>1.0767517174189893</v>
      </c>
      <c r="S675" s="88">
        <f t="shared" si="282"/>
        <v>-116828.74000000022</v>
      </c>
      <c r="T675" s="123">
        <f t="shared" si="292"/>
        <v>0.9735910346294282</v>
      </c>
      <c r="U675" s="88">
        <f t="shared" si="283"/>
        <v>423835.12000000011</v>
      </c>
      <c r="V675" s="123">
        <f t="shared" si="284"/>
        <v>1.1059589490045236</v>
      </c>
      <c r="W675" s="157">
        <f t="shared" si="294"/>
        <v>11</v>
      </c>
    </row>
    <row r="676" spans="1:23" ht="11.25" customHeight="1" x14ac:dyDescent="0.25">
      <c r="A676" s="42" t="s">
        <v>1512</v>
      </c>
      <c r="B676" s="282">
        <f t="shared" si="291"/>
        <v>11</v>
      </c>
      <c r="C676" s="27" t="s">
        <v>916</v>
      </c>
      <c r="D676" s="28" t="s">
        <v>919</v>
      </c>
      <c r="E676" s="28" t="s">
        <v>917</v>
      </c>
      <c r="F676" s="373" t="s">
        <v>184</v>
      </c>
      <c r="G676" s="374"/>
      <c r="H676" s="11">
        <v>188947.23</v>
      </c>
      <c r="I676" s="11">
        <v>228464.23</v>
      </c>
      <c r="J676" s="336">
        <v>314999.99999998999</v>
      </c>
      <c r="K676" s="130">
        <v>219323.01</v>
      </c>
      <c r="L676" s="142">
        <v>240000</v>
      </c>
      <c r="O676" s="88">
        <f t="shared" si="276"/>
        <v>-74999.999999989988</v>
      </c>
      <c r="P676" s="123">
        <f t="shared" si="289"/>
        <v>0.76190476190478607</v>
      </c>
      <c r="Q676" s="88">
        <f t="shared" si="277"/>
        <v>11535.76999999999</v>
      </c>
      <c r="R676" s="123">
        <f t="shared" si="290"/>
        <v>1.0504926744987606</v>
      </c>
      <c r="S676" s="88">
        <f t="shared" si="282"/>
        <v>20676.989999999991</v>
      </c>
      <c r="T676" s="123">
        <f t="shared" si="292"/>
        <v>1.0942764281777821</v>
      </c>
      <c r="U676" s="88">
        <f t="shared" si="283"/>
        <v>-9141.2200000000012</v>
      </c>
      <c r="V676" s="123">
        <f t="shared" si="284"/>
        <v>0.95998839730841012</v>
      </c>
      <c r="W676" s="157">
        <f t="shared" si="294"/>
        <v>11</v>
      </c>
    </row>
    <row r="677" spans="1:23" ht="11.25" customHeight="1" x14ac:dyDescent="0.25">
      <c r="A677" s="55" t="s">
        <v>1513</v>
      </c>
      <c r="B677" s="282">
        <f t="shared" si="291"/>
        <v>7</v>
      </c>
      <c r="C677" s="55"/>
      <c r="D677" s="53"/>
      <c r="E677" s="53"/>
      <c r="F677" s="381" t="s">
        <v>724</v>
      </c>
      <c r="G677" s="382"/>
      <c r="H677" s="54">
        <f t="shared" ref="H677:L677" si="301">SUM(H678:H695)</f>
        <v>375192439.34999996</v>
      </c>
      <c r="I677" s="54">
        <f t="shared" si="301"/>
        <v>408713968.28000003</v>
      </c>
      <c r="J677" s="136">
        <f t="shared" si="301"/>
        <v>425900000</v>
      </c>
      <c r="K677" s="136">
        <f t="shared" si="301"/>
        <v>431848329.47999996</v>
      </c>
      <c r="L677" s="153">
        <f t="shared" si="301"/>
        <v>449757005.24149996</v>
      </c>
      <c r="O677" s="88">
        <f t="shared" si="276"/>
        <v>23857005.24149996</v>
      </c>
      <c r="P677" s="123">
        <f t="shared" si="289"/>
        <v>1.0560155089023244</v>
      </c>
      <c r="Q677" s="88">
        <f t="shared" si="277"/>
        <v>41043036.961499929</v>
      </c>
      <c r="R677" s="123">
        <f t="shared" si="290"/>
        <v>1.1004199517188566</v>
      </c>
      <c r="S677" s="88">
        <f t="shared" si="282"/>
        <v>17908675.761500001</v>
      </c>
      <c r="T677" s="123">
        <f t="shared" si="292"/>
        <v>1.0414698275736398</v>
      </c>
      <c r="U677" s="88">
        <f t="shared" si="283"/>
        <v>23134361.199999928</v>
      </c>
      <c r="V677" s="123">
        <f t="shared" si="284"/>
        <v>1.0566028151603351</v>
      </c>
      <c r="W677" s="157">
        <f t="shared" si="294"/>
        <v>7</v>
      </c>
    </row>
    <row r="678" spans="1:23" ht="11.25" customHeight="1" x14ac:dyDescent="0.25">
      <c r="A678" s="42" t="s">
        <v>1514</v>
      </c>
      <c r="B678" s="282">
        <f t="shared" si="291"/>
        <v>11</v>
      </c>
      <c r="C678" s="20" t="s">
        <v>922</v>
      </c>
      <c r="D678" s="20" t="s">
        <v>923</v>
      </c>
      <c r="E678" s="20" t="s">
        <v>1114</v>
      </c>
      <c r="F678" s="373" t="s">
        <v>725</v>
      </c>
      <c r="G678" s="374"/>
      <c r="H678" s="11">
        <v>28803425.780000001</v>
      </c>
      <c r="I678" s="11">
        <v>33321246.829999998</v>
      </c>
      <c r="J678" s="336">
        <v>34300000</v>
      </c>
      <c r="K678" s="130">
        <v>37244398.090000004</v>
      </c>
      <c r="L678" s="142">
        <v>38920396.004050002</v>
      </c>
      <c r="O678" s="88">
        <f t="shared" si="276"/>
        <v>4620396.0040500015</v>
      </c>
      <c r="P678" s="123">
        <f t="shared" si="289"/>
        <v>1.1347054228586007</v>
      </c>
      <c r="Q678" s="88">
        <f t="shared" si="277"/>
        <v>5599149.1740500033</v>
      </c>
      <c r="R678" s="123">
        <f t="shared" si="290"/>
        <v>1.16803540403563</v>
      </c>
      <c r="S678" s="88">
        <f t="shared" si="282"/>
        <v>1675997.9140499979</v>
      </c>
      <c r="T678" s="123">
        <f t="shared" si="292"/>
        <v>1.0449999999999999</v>
      </c>
      <c r="U678" s="88">
        <f t="shared" si="283"/>
        <v>3923151.2600000054</v>
      </c>
      <c r="V678" s="123">
        <f t="shared" si="284"/>
        <v>1.1177372287422296</v>
      </c>
      <c r="W678" s="157">
        <f t="shared" si="294"/>
        <v>11</v>
      </c>
    </row>
    <row r="679" spans="1:23" ht="11.25" customHeight="1" x14ac:dyDescent="0.25">
      <c r="A679" s="42" t="s">
        <v>1515</v>
      </c>
      <c r="B679" s="282">
        <f t="shared" si="291"/>
        <v>11</v>
      </c>
      <c r="C679" s="20" t="s">
        <v>922</v>
      </c>
      <c r="D679" s="20" t="s">
        <v>923</v>
      </c>
      <c r="E679" s="20" t="s">
        <v>1114</v>
      </c>
      <c r="F679" s="373" t="s">
        <v>726</v>
      </c>
      <c r="G679" s="374"/>
      <c r="H679" s="11">
        <v>1079488.8</v>
      </c>
      <c r="I679" s="11">
        <v>1394878.33</v>
      </c>
      <c r="J679" s="336">
        <v>1400000</v>
      </c>
      <c r="K679" s="130">
        <v>1868504.1</v>
      </c>
      <c r="L679" s="142">
        <v>1952586.7845000001</v>
      </c>
      <c r="O679" s="88">
        <f t="shared" si="276"/>
        <v>552586.78450000007</v>
      </c>
      <c r="P679" s="123">
        <f t="shared" si="289"/>
        <v>1.3947048460714286</v>
      </c>
      <c r="Q679" s="88">
        <f t="shared" si="277"/>
        <v>557708.45449999999</v>
      </c>
      <c r="R679" s="123">
        <f t="shared" si="290"/>
        <v>1.3998258790786433</v>
      </c>
      <c r="S679" s="88">
        <f t="shared" si="282"/>
        <v>84082.684499999974</v>
      </c>
      <c r="T679" s="123">
        <f t="shared" si="292"/>
        <v>1.0449999999999999</v>
      </c>
      <c r="U679" s="88">
        <f t="shared" si="283"/>
        <v>473625.77</v>
      </c>
      <c r="V679" s="123">
        <f t="shared" si="284"/>
        <v>1.3395462957690367</v>
      </c>
      <c r="W679" s="157">
        <f t="shared" si="294"/>
        <v>11</v>
      </c>
    </row>
    <row r="680" spans="1:23" ht="11.25" customHeight="1" x14ac:dyDescent="0.25">
      <c r="A680" s="42" t="s">
        <v>1516</v>
      </c>
      <c r="B680" s="282">
        <f t="shared" si="291"/>
        <v>11</v>
      </c>
      <c r="C680" s="20" t="s">
        <v>922</v>
      </c>
      <c r="D680" s="20" t="s">
        <v>923</v>
      </c>
      <c r="E680" s="20" t="s">
        <v>1114</v>
      </c>
      <c r="F680" s="373" t="s">
        <v>727</v>
      </c>
      <c r="G680" s="374"/>
      <c r="H680" s="11">
        <v>6172310.8099999996</v>
      </c>
      <c r="I680" s="11">
        <v>4617057.9800000004</v>
      </c>
      <c r="J680" s="336">
        <v>5299999.9999999898</v>
      </c>
      <c r="K680" s="130">
        <v>1442528.93</v>
      </c>
      <c r="L680" s="142">
        <v>1507442.7318499999</v>
      </c>
      <c r="O680" s="88">
        <f t="shared" si="276"/>
        <v>-3792557.2681499897</v>
      </c>
      <c r="P680" s="123">
        <f t="shared" si="289"/>
        <v>0.28442315695283071</v>
      </c>
      <c r="Q680" s="88">
        <f t="shared" si="277"/>
        <v>-3109615.2481500003</v>
      </c>
      <c r="R680" s="123">
        <f t="shared" si="290"/>
        <v>0.32649421739555451</v>
      </c>
      <c r="S680" s="88">
        <f t="shared" si="282"/>
        <v>64913.801849999931</v>
      </c>
      <c r="T680" s="123">
        <f t="shared" si="292"/>
        <v>1.0449999999999999</v>
      </c>
      <c r="U680" s="88">
        <f t="shared" si="283"/>
        <v>-3174529.0500000007</v>
      </c>
      <c r="V680" s="123">
        <f t="shared" si="284"/>
        <v>0.31243465779478902</v>
      </c>
      <c r="W680" s="157">
        <f t="shared" si="294"/>
        <v>11</v>
      </c>
    </row>
    <row r="681" spans="1:23" ht="11.25" customHeight="1" x14ac:dyDescent="0.25">
      <c r="A681" s="42" t="s">
        <v>1517</v>
      </c>
      <c r="B681" s="282">
        <f t="shared" si="291"/>
        <v>11</v>
      </c>
      <c r="C681" s="20" t="s">
        <v>922</v>
      </c>
      <c r="D681" s="20" t="s">
        <v>923</v>
      </c>
      <c r="E681" s="20" t="s">
        <v>1114</v>
      </c>
      <c r="F681" s="373" t="s">
        <v>728</v>
      </c>
      <c r="G681" s="374"/>
      <c r="H681" s="11">
        <v>161199697.06</v>
      </c>
      <c r="I681" s="11">
        <v>179798752.49000001</v>
      </c>
      <c r="J681" s="336">
        <v>315100000</v>
      </c>
      <c r="K681" s="130">
        <v>317128084.51999998</v>
      </c>
      <c r="L681" s="142">
        <v>331398848.32339996</v>
      </c>
      <c r="O681" s="88">
        <f t="shared" si="276"/>
        <v>16298848.323399961</v>
      </c>
      <c r="P681" s="123">
        <f t="shared" si="289"/>
        <v>1.0517259546918438</v>
      </c>
      <c r="Q681" s="88">
        <f t="shared" si="277"/>
        <v>151600095.83339995</v>
      </c>
      <c r="R681" s="123">
        <f t="shared" si="290"/>
        <v>1.8431654487804725</v>
      </c>
      <c r="S681" s="88">
        <f t="shared" si="282"/>
        <v>14270763.80339998</v>
      </c>
      <c r="T681" s="123">
        <f t="shared" si="292"/>
        <v>1.0449999999999999</v>
      </c>
      <c r="U681" s="88">
        <f t="shared" si="283"/>
        <v>137329332.02999997</v>
      </c>
      <c r="V681" s="123">
        <f t="shared" si="284"/>
        <v>1.7637946878282034</v>
      </c>
      <c r="W681" s="157">
        <f t="shared" si="294"/>
        <v>11</v>
      </c>
    </row>
    <row r="682" spans="1:23" ht="11.25" customHeight="1" x14ac:dyDescent="0.25">
      <c r="A682" s="42" t="s">
        <v>1518</v>
      </c>
      <c r="B682" s="282">
        <f t="shared" si="291"/>
        <v>11</v>
      </c>
      <c r="C682" s="20" t="s">
        <v>922</v>
      </c>
      <c r="D682" s="20" t="s">
        <v>923</v>
      </c>
      <c r="E682" s="20" t="s">
        <v>1114</v>
      </c>
      <c r="F682" s="373" t="s">
        <v>729</v>
      </c>
      <c r="G682" s="374"/>
      <c r="H682" s="11">
        <v>5646116.9800000004</v>
      </c>
      <c r="I682" s="11">
        <v>6695984.21</v>
      </c>
      <c r="J682" s="336">
        <v>6999999.9999999898</v>
      </c>
      <c r="K682" s="130">
        <v>7378113.7699999996</v>
      </c>
      <c r="L682" s="142">
        <v>7710128.8896499993</v>
      </c>
      <c r="O682" s="88">
        <f t="shared" ref="O682:O745" si="302">+L682-J682</f>
        <v>710128.88965000957</v>
      </c>
      <c r="P682" s="123">
        <f t="shared" si="289"/>
        <v>1.1014469842357157</v>
      </c>
      <c r="Q682" s="88">
        <f t="shared" ref="Q682:Q745" si="303">+L682-I682</f>
        <v>1014144.6796499994</v>
      </c>
      <c r="R682" s="123">
        <f t="shared" si="290"/>
        <v>1.1514556557847677</v>
      </c>
      <c r="S682" s="88">
        <f t="shared" si="282"/>
        <v>332015.11964999977</v>
      </c>
      <c r="T682" s="123">
        <f t="shared" si="292"/>
        <v>1.0449999999999999</v>
      </c>
      <c r="U682" s="88">
        <f t="shared" si="283"/>
        <v>682129.55999999959</v>
      </c>
      <c r="V682" s="123">
        <f t="shared" si="284"/>
        <v>1.1018714409423613</v>
      </c>
      <c r="W682" s="157">
        <f t="shared" si="294"/>
        <v>11</v>
      </c>
    </row>
    <row r="683" spans="1:23" ht="11.25" customHeight="1" x14ac:dyDescent="0.25">
      <c r="A683" s="42" t="s">
        <v>1519</v>
      </c>
      <c r="B683" s="282">
        <f t="shared" si="291"/>
        <v>11</v>
      </c>
      <c r="C683" s="20" t="s">
        <v>922</v>
      </c>
      <c r="D683" s="20" t="s">
        <v>923</v>
      </c>
      <c r="E683" s="20" t="s">
        <v>1114</v>
      </c>
      <c r="F683" s="373" t="s">
        <v>730</v>
      </c>
      <c r="G683" s="374"/>
      <c r="H683" s="11">
        <v>22115759.140000001</v>
      </c>
      <c r="I683" s="11">
        <v>24788679.289999999</v>
      </c>
      <c r="J683" s="336">
        <v>46800000</v>
      </c>
      <c r="K683" s="130">
        <v>48446947.479999997</v>
      </c>
      <c r="L683" s="142">
        <v>50627060.116599992</v>
      </c>
      <c r="O683" s="88">
        <f t="shared" si="302"/>
        <v>3827060.1165999919</v>
      </c>
      <c r="P683" s="123">
        <f t="shared" si="289"/>
        <v>1.0817747888162392</v>
      </c>
      <c r="Q683" s="88">
        <f t="shared" si="303"/>
        <v>25838380.826599993</v>
      </c>
      <c r="R683" s="123">
        <f t="shared" si="290"/>
        <v>2.0423460049775</v>
      </c>
      <c r="S683" s="88">
        <f t="shared" si="282"/>
        <v>2180112.6365999952</v>
      </c>
      <c r="T683" s="123">
        <f t="shared" si="292"/>
        <v>1.0449999999999999</v>
      </c>
      <c r="U683" s="88">
        <f t="shared" si="283"/>
        <v>23658268.189999998</v>
      </c>
      <c r="V683" s="123">
        <f t="shared" si="284"/>
        <v>1.95439809088756</v>
      </c>
      <c r="W683" s="157">
        <f t="shared" si="294"/>
        <v>11</v>
      </c>
    </row>
    <row r="684" spans="1:23" ht="11.25" customHeight="1" x14ac:dyDescent="0.25">
      <c r="A684" s="42" t="s">
        <v>1520</v>
      </c>
      <c r="B684" s="282">
        <f t="shared" si="291"/>
        <v>11</v>
      </c>
      <c r="C684" s="35" t="s">
        <v>922</v>
      </c>
      <c r="D684" s="35" t="s">
        <v>923</v>
      </c>
      <c r="E684" s="35" t="s">
        <v>1114</v>
      </c>
      <c r="F684" s="373" t="s">
        <v>731</v>
      </c>
      <c r="G684" s="374"/>
      <c r="H684" s="11">
        <v>780387.44</v>
      </c>
      <c r="I684" s="11">
        <v>516002.58</v>
      </c>
      <c r="J684" s="336">
        <v>599999.99999998196</v>
      </c>
      <c r="K684" s="130">
        <v>2336260.17</v>
      </c>
      <c r="L684" s="142">
        <v>2441391.8776499997</v>
      </c>
      <c r="O684" s="88">
        <f t="shared" si="302"/>
        <v>1841391.8776500179</v>
      </c>
      <c r="P684" s="123">
        <f t="shared" si="289"/>
        <v>4.0689864627501215</v>
      </c>
      <c r="Q684" s="88">
        <f t="shared" si="303"/>
        <v>1925389.2976499996</v>
      </c>
      <c r="R684" s="123">
        <f t="shared" si="290"/>
        <v>4.731355951069081</v>
      </c>
      <c r="S684" s="88">
        <f t="shared" si="282"/>
        <v>105131.70764999976</v>
      </c>
      <c r="T684" s="123">
        <f t="shared" si="292"/>
        <v>1.0449999999999999</v>
      </c>
      <c r="U684" s="88">
        <f t="shared" si="283"/>
        <v>1820257.5899999999</v>
      </c>
      <c r="V684" s="123">
        <f t="shared" si="284"/>
        <v>4.5276133503053408</v>
      </c>
      <c r="W684" s="157">
        <f t="shared" si="294"/>
        <v>11</v>
      </c>
    </row>
    <row r="685" spans="1:23" ht="11.25" customHeight="1" x14ac:dyDescent="0.25">
      <c r="A685" s="42" t="s">
        <v>1521</v>
      </c>
      <c r="B685" s="282">
        <f t="shared" si="291"/>
        <v>11</v>
      </c>
      <c r="C685" s="20" t="s">
        <v>922</v>
      </c>
      <c r="D685" s="20" t="s">
        <v>923</v>
      </c>
      <c r="E685" s="20" t="s">
        <v>1114</v>
      </c>
      <c r="F685" s="373" t="s">
        <v>732</v>
      </c>
      <c r="G685" s="374"/>
      <c r="H685" s="11">
        <v>234599.4</v>
      </c>
      <c r="I685" s="11">
        <v>178250.91</v>
      </c>
      <c r="J685" s="336">
        <v>399999.999999994</v>
      </c>
      <c r="K685" s="130">
        <v>369842.46</v>
      </c>
      <c r="L685" s="142">
        <v>386485.37069999997</v>
      </c>
      <c r="O685" s="88">
        <f t="shared" si="302"/>
        <v>-13514.629299994034</v>
      </c>
      <c r="P685" s="123">
        <f t="shared" si="289"/>
        <v>0.96621342675001443</v>
      </c>
      <c r="Q685" s="88">
        <f t="shared" si="303"/>
        <v>208234.46069999997</v>
      </c>
      <c r="R685" s="123">
        <f t="shared" si="290"/>
        <v>2.1682098043707039</v>
      </c>
      <c r="S685" s="88">
        <f t="shared" si="282"/>
        <v>16642.910699999949</v>
      </c>
      <c r="T685" s="123">
        <f t="shared" si="292"/>
        <v>1.0449999999999999</v>
      </c>
      <c r="U685" s="88">
        <f t="shared" si="283"/>
        <v>191591.55000000002</v>
      </c>
      <c r="V685" s="123">
        <f t="shared" si="284"/>
        <v>2.0748419180580902</v>
      </c>
      <c r="W685" s="157">
        <f t="shared" si="294"/>
        <v>11</v>
      </c>
    </row>
    <row r="686" spans="1:23" ht="11.25" customHeight="1" x14ac:dyDescent="0.25">
      <c r="A686" s="42" t="s">
        <v>1522</v>
      </c>
      <c r="B686" s="282">
        <f t="shared" si="291"/>
        <v>11</v>
      </c>
      <c r="C686" s="20" t="s">
        <v>922</v>
      </c>
      <c r="D686" s="20" t="s">
        <v>923</v>
      </c>
      <c r="E686" s="20" t="s">
        <v>1114</v>
      </c>
      <c r="F686" s="373" t="s">
        <v>733</v>
      </c>
      <c r="G686" s="374"/>
      <c r="H686" s="11">
        <v>650769.47</v>
      </c>
      <c r="I686" s="11">
        <v>625566.81999999995</v>
      </c>
      <c r="J686" s="336">
        <v>1350000</v>
      </c>
      <c r="K686" s="130">
        <v>874297.08</v>
      </c>
      <c r="L686" s="142">
        <v>913640.44859999989</v>
      </c>
      <c r="O686" s="88">
        <f t="shared" si="302"/>
        <v>-436359.55140000011</v>
      </c>
      <c r="P686" s="123">
        <f t="shared" si="289"/>
        <v>0.67677070266666661</v>
      </c>
      <c r="Q686" s="88">
        <f t="shared" si="303"/>
        <v>288073.62859999994</v>
      </c>
      <c r="R686" s="123">
        <f t="shared" si="290"/>
        <v>1.460500172627442</v>
      </c>
      <c r="S686" s="88">
        <f t="shared" si="282"/>
        <v>39343.368599999929</v>
      </c>
      <c r="T686" s="123">
        <f t="shared" si="292"/>
        <v>1.0449999999999999</v>
      </c>
      <c r="U686" s="88">
        <f t="shared" si="283"/>
        <v>248730.26</v>
      </c>
      <c r="V686" s="123">
        <f t="shared" si="284"/>
        <v>1.3976078206961169</v>
      </c>
      <c r="W686" s="157">
        <f t="shared" si="294"/>
        <v>11</v>
      </c>
    </row>
    <row r="687" spans="1:23" ht="11.25" customHeight="1" x14ac:dyDescent="0.25">
      <c r="A687" s="42" t="s">
        <v>1524</v>
      </c>
      <c r="B687" s="282">
        <f t="shared" si="291"/>
        <v>11</v>
      </c>
      <c r="C687" s="20" t="s">
        <v>922</v>
      </c>
      <c r="D687" s="20" t="s">
        <v>923</v>
      </c>
      <c r="E687" s="20" t="s">
        <v>1114</v>
      </c>
      <c r="F687" s="373" t="s">
        <v>734</v>
      </c>
      <c r="G687" s="374"/>
      <c r="H687" s="11">
        <v>1576511.28</v>
      </c>
      <c r="I687" s="11">
        <v>1693233.32</v>
      </c>
      <c r="J687" s="336">
        <v>1700000</v>
      </c>
      <c r="K687" s="130">
        <v>1583176.1</v>
      </c>
      <c r="L687" s="142">
        <v>165440.32449999999</v>
      </c>
      <c r="O687" s="88">
        <f t="shared" si="302"/>
        <v>-1534559.6754999999</v>
      </c>
      <c r="P687" s="123">
        <f t="shared" si="289"/>
        <v>9.731783794117646E-2</v>
      </c>
      <c r="Q687" s="88">
        <f t="shared" si="303"/>
        <v>-1527792.9955000002</v>
      </c>
      <c r="R687" s="123">
        <f t="shared" si="290"/>
        <v>9.7706749888432379E-2</v>
      </c>
      <c r="S687" s="88">
        <f t="shared" ref="S687:S750" si="304">L687-K687</f>
        <v>-1417735.7755</v>
      </c>
      <c r="T687" s="123">
        <f t="shared" si="292"/>
        <v>0.10449900330102253</v>
      </c>
      <c r="U687" s="88">
        <f t="shared" ref="U687:U750" si="305">K687-I687</f>
        <v>-110057.21999999997</v>
      </c>
      <c r="V687" s="123">
        <f t="shared" ref="V687:V750" si="306">IF(I687=0,"",K687/I687)</f>
        <v>0.93500173974842404</v>
      </c>
      <c r="W687" s="157">
        <f t="shared" si="294"/>
        <v>11</v>
      </c>
    </row>
    <row r="688" spans="1:23" ht="11.25" customHeight="1" x14ac:dyDescent="0.25">
      <c r="A688" s="42" t="s">
        <v>1525</v>
      </c>
      <c r="B688" s="282">
        <f t="shared" si="291"/>
        <v>11</v>
      </c>
      <c r="C688" s="20" t="s">
        <v>922</v>
      </c>
      <c r="D688" s="20" t="s">
        <v>923</v>
      </c>
      <c r="E688" s="20" t="s">
        <v>1114</v>
      </c>
      <c r="F688" s="373" t="s">
        <v>735</v>
      </c>
      <c r="G688" s="374"/>
      <c r="H688" s="11">
        <v>9916638.8399999999</v>
      </c>
      <c r="I688" s="11">
        <v>11565783.83</v>
      </c>
      <c r="J688" s="336">
        <v>11700000</v>
      </c>
      <c r="K688" s="130">
        <v>13142186</v>
      </c>
      <c r="L688" s="142">
        <v>13733584.369999999</v>
      </c>
      <c r="O688" s="88">
        <f t="shared" si="302"/>
        <v>2033584.3699999992</v>
      </c>
      <c r="P688" s="123">
        <f t="shared" si="289"/>
        <v>1.1738106299145299</v>
      </c>
      <c r="Q688" s="88">
        <f t="shared" si="303"/>
        <v>2167800.5399999991</v>
      </c>
      <c r="R688" s="123">
        <f t="shared" si="290"/>
        <v>1.1874322200607825</v>
      </c>
      <c r="S688" s="88">
        <f t="shared" si="304"/>
        <v>591398.36999999918</v>
      </c>
      <c r="T688" s="123">
        <f t="shared" si="292"/>
        <v>1.0449999999999999</v>
      </c>
      <c r="U688" s="88">
        <f t="shared" si="305"/>
        <v>1576402.17</v>
      </c>
      <c r="V688" s="123">
        <f t="shared" si="306"/>
        <v>1.1362987751777822</v>
      </c>
      <c r="W688" s="157">
        <f t="shared" si="294"/>
        <v>11</v>
      </c>
    </row>
    <row r="689" spans="1:23" ht="11.25" customHeight="1" x14ac:dyDescent="0.25">
      <c r="A689" s="42" t="s">
        <v>1526</v>
      </c>
      <c r="B689" s="282">
        <f t="shared" si="291"/>
        <v>11</v>
      </c>
      <c r="C689" s="20" t="s">
        <v>922</v>
      </c>
      <c r="D689" s="20" t="s">
        <v>923</v>
      </c>
      <c r="E689" s="20" t="s">
        <v>1114</v>
      </c>
      <c r="F689" s="373" t="s">
        <v>1674</v>
      </c>
      <c r="G689" s="374"/>
      <c r="H689" s="11">
        <v>89739.42</v>
      </c>
      <c r="I689" s="11">
        <v>148034.46</v>
      </c>
      <c r="J689" s="336">
        <v>249999.999999997</v>
      </c>
      <c r="K689" s="130">
        <v>33990.78</v>
      </c>
      <c r="L689" s="141"/>
      <c r="O689" s="88">
        <f t="shared" si="302"/>
        <v>-249999.999999997</v>
      </c>
      <c r="P689" s="123">
        <f t="shared" si="289"/>
        <v>0</v>
      </c>
      <c r="Q689" s="88">
        <f t="shared" si="303"/>
        <v>-148034.46</v>
      </c>
      <c r="R689" s="123">
        <f t="shared" si="290"/>
        <v>0</v>
      </c>
      <c r="S689" s="88">
        <f t="shared" si="304"/>
        <v>-33990.78</v>
      </c>
      <c r="T689" s="123">
        <f t="shared" si="292"/>
        <v>0</v>
      </c>
      <c r="U689" s="88">
        <f t="shared" si="305"/>
        <v>-114043.68</v>
      </c>
      <c r="V689" s="123">
        <f t="shared" si="306"/>
        <v>0.22961396961221056</v>
      </c>
      <c r="W689" s="157">
        <f t="shared" si="294"/>
        <v>11</v>
      </c>
    </row>
    <row r="690" spans="1:23" ht="11.25" customHeight="1" x14ac:dyDescent="0.25">
      <c r="A690" s="42" t="s">
        <v>1527</v>
      </c>
      <c r="B690" s="282">
        <f t="shared" si="291"/>
        <v>11</v>
      </c>
      <c r="C690" s="35"/>
      <c r="D690" s="35"/>
      <c r="E690" s="35"/>
      <c r="F690" s="373" t="s">
        <v>736</v>
      </c>
      <c r="G690" s="374"/>
      <c r="H690" s="11">
        <v>117632581.48999999</v>
      </c>
      <c r="I690" s="11">
        <v>122455356.63</v>
      </c>
      <c r="J690" s="336">
        <v>0</v>
      </c>
      <c r="K690" s="130">
        <v>0</v>
      </c>
      <c r="L690" s="141"/>
      <c r="O690" s="88">
        <f t="shared" si="302"/>
        <v>0</v>
      </c>
      <c r="P690" s="123" t="str">
        <f t="shared" si="289"/>
        <v/>
      </c>
      <c r="Q690" s="88">
        <f t="shared" si="303"/>
        <v>-122455356.63</v>
      </c>
      <c r="R690" s="123">
        <f t="shared" si="290"/>
        <v>0</v>
      </c>
      <c r="S690" s="88">
        <f t="shared" si="304"/>
        <v>0</v>
      </c>
      <c r="T690" s="123" t="str">
        <f t="shared" si="292"/>
        <v/>
      </c>
      <c r="U690" s="88">
        <f t="shared" si="305"/>
        <v>-122455356.63</v>
      </c>
      <c r="V690" s="123">
        <f t="shared" si="306"/>
        <v>0</v>
      </c>
      <c r="W690" s="157">
        <f t="shared" si="294"/>
        <v>11</v>
      </c>
    </row>
    <row r="691" spans="1:23" ht="11.25" customHeight="1" x14ac:dyDescent="0.25">
      <c r="A691" s="42" t="s">
        <v>1528</v>
      </c>
      <c r="B691" s="282">
        <f t="shared" si="291"/>
        <v>11</v>
      </c>
      <c r="C691" s="20"/>
      <c r="D691" s="20"/>
      <c r="E691" s="20"/>
      <c r="F691" s="373" t="s">
        <v>737</v>
      </c>
      <c r="G691" s="374"/>
      <c r="H691" s="11">
        <v>18056580.140000001</v>
      </c>
      <c r="I691" s="11">
        <v>20084519.359999999</v>
      </c>
      <c r="J691" s="336">
        <v>0</v>
      </c>
      <c r="K691" s="130">
        <v>0</v>
      </c>
      <c r="L691" s="141"/>
      <c r="O691" s="88">
        <f t="shared" si="302"/>
        <v>0</v>
      </c>
      <c r="P691" s="123" t="str">
        <f t="shared" si="289"/>
        <v/>
      </c>
      <c r="Q691" s="88">
        <f t="shared" si="303"/>
        <v>-20084519.359999999</v>
      </c>
      <c r="R691" s="123">
        <f t="shared" si="290"/>
        <v>0</v>
      </c>
      <c r="S691" s="88">
        <f t="shared" si="304"/>
        <v>0</v>
      </c>
      <c r="T691" s="123" t="str">
        <f t="shared" si="292"/>
        <v/>
      </c>
      <c r="U691" s="88">
        <f t="shared" si="305"/>
        <v>-20084519.359999999</v>
      </c>
      <c r="V691" s="123">
        <f t="shared" si="306"/>
        <v>0</v>
      </c>
      <c r="W691" s="157">
        <f t="shared" si="294"/>
        <v>11</v>
      </c>
    </row>
    <row r="692" spans="1:23" ht="11.25" customHeight="1" x14ac:dyDescent="0.25">
      <c r="A692" s="83" t="s">
        <v>1672</v>
      </c>
      <c r="B692" s="282">
        <f t="shared" si="291"/>
        <v>11</v>
      </c>
      <c r="C692" s="21" t="s">
        <v>922</v>
      </c>
      <c r="D692" s="21" t="s">
        <v>923</v>
      </c>
      <c r="E692" s="21" t="s">
        <v>1114</v>
      </c>
      <c r="F692" s="387" t="s">
        <v>1673</v>
      </c>
      <c r="G692" s="388"/>
      <c r="H692" s="84"/>
      <c r="I692" s="84"/>
      <c r="J692" s="338"/>
      <c r="K692" s="131"/>
      <c r="L692" s="173"/>
      <c r="O692" s="88">
        <f t="shared" si="302"/>
        <v>0</v>
      </c>
      <c r="P692" s="123" t="str">
        <f t="shared" si="289"/>
        <v/>
      </c>
      <c r="Q692" s="88">
        <f t="shared" si="303"/>
        <v>0</v>
      </c>
      <c r="R692" s="123" t="str">
        <f t="shared" si="290"/>
        <v/>
      </c>
      <c r="S692" s="88">
        <f t="shared" si="304"/>
        <v>0</v>
      </c>
      <c r="T692" s="123" t="str">
        <f t="shared" si="292"/>
        <v/>
      </c>
      <c r="U692" s="88">
        <f t="shared" si="305"/>
        <v>0</v>
      </c>
      <c r="V692" s="123" t="str">
        <f t="shared" si="306"/>
        <v/>
      </c>
      <c r="W692" s="157">
        <f t="shared" si="294"/>
        <v>11</v>
      </c>
    </row>
    <row r="693" spans="1:23" ht="11.25" customHeight="1" x14ac:dyDescent="0.25">
      <c r="A693" s="42" t="s">
        <v>1529</v>
      </c>
      <c r="B693" s="282">
        <f t="shared" si="291"/>
        <v>11</v>
      </c>
      <c r="C693" s="20" t="s">
        <v>922</v>
      </c>
      <c r="D693" s="20" t="s">
        <v>923</v>
      </c>
      <c r="E693" s="20" t="s">
        <v>1114</v>
      </c>
      <c r="F693" s="373" t="s">
        <v>738</v>
      </c>
      <c r="G693" s="374"/>
      <c r="H693" s="11">
        <v>0</v>
      </c>
      <c r="I693" s="11">
        <v>4491.0200000000004</v>
      </c>
      <c r="J693" s="336">
        <v>0</v>
      </c>
      <c r="K693" s="130">
        <v>0</v>
      </c>
      <c r="L693" s="141"/>
      <c r="O693" s="88">
        <f t="shared" si="302"/>
        <v>0</v>
      </c>
      <c r="P693" s="123" t="str">
        <f t="shared" si="289"/>
        <v/>
      </c>
      <c r="Q693" s="88">
        <f t="shared" si="303"/>
        <v>-4491.0200000000004</v>
      </c>
      <c r="R693" s="123">
        <f t="shared" si="290"/>
        <v>0</v>
      </c>
      <c r="S693" s="88">
        <f t="shared" si="304"/>
        <v>0</v>
      </c>
      <c r="T693" s="123" t="str">
        <f t="shared" si="292"/>
        <v/>
      </c>
      <c r="U693" s="88">
        <f t="shared" si="305"/>
        <v>-4491.0200000000004</v>
      </c>
      <c r="V693" s="123">
        <f t="shared" si="306"/>
        <v>0</v>
      </c>
      <c r="W693" s="157">
        <f t="shared" si="294"/>
        <v>11</v>
      </c>
    </row>
    <row r="694" spans="1:23" ht="11.25" customHeight="1" x14ac:dyDescent="0.25">
      <c r="A694" s="42" t="s">
        <v>1530</v>
      </c>
      <c r="B694" s="282">
        <f t="shared" si="291"/>
        <v>11</v>
      </c>
      <c r="C694" s="20"/>
      <c r="D694" s="20"/>
      <c r="E694" s="20"/>
      <c r="F694" s="373" t="s">
        <v>739</v>
      </c>
      <c r="G694" s="374"/>
      <c r="H694" s="11">
        <v>506311.86</v>
      </c>
      <c r="I694" s="11">
        <v>163105</v>
      </c>
      <c r="J694" s="336">
        <v>0</v>
      </c>
      <c r="K694" s="130">
        <v>0</v>
      </c>
      <c r="L694" s="141"/>
      <c r="O694" s="88">
        <f t="shared" si="302"/>
        <v>0</v>
      </c>
      <c r="P694" s="123" t="str">
        <f t="shared" si="289"/>
        <v/>
      </c>
      <c r="Q694" s="88">
        <f t="shared" si="303"/>
        <v>-163105</v>
      </c>
      <c r="R694" s="123">
        <f t="shared" si="290"/>
        <v>0</v>
      </c>
      <c r="S694" s="88">
        <f t="shared" si="304"/>
        <v>0</v>
      </c>
      <c r="T694" s="123" t="str">
        <f t="shared" si="292"/>
        <v/>
      </c>
      <c r="U694" s="88">
        <f t="shared" si="305"/>
        <v>-163105</v>
      </c>
      <c r="V694" s="123">
        <f t="shared" si="306"/>
        <v>0</v>
      </c>
      <c r="W694" s="157">
        <f t="shared" si="294"/>
        <v>11</v>
      </c>
    </row>
    <row r="695" spans="1:23" ht="11.25" customHeight="1" x14ac:dyDescent="0.25">
      <c r="A695" s="42" t="s">
        <v>1531</v>
      </c>
      <c r="B695" s="282">
        <f t="shared" si="291"/>
        <v>11</v>
      </c>
      <c r="C695" s="20"/>
      <c r="D695" s="20"/>
      <c r="E695" s="20"/>
      <c r="F695" s="373" t="s">
        <v>740</v>
      </c>
      <c r="G695" s="374"/>
      <c r="H695" s="11">
        <v>731521.44</v>
      </c>
      <c r="I695" s="11">
        <v>663025.22</v>
      </c>
      <c r="J695" s="336">
        <v>0</v>
      </c>
      <c r="K695" s="130">
        <v>0</v>
      </c>
      <c r="L695" s="141"/>
      <c r="O695" s="88">
        <f t="shared" si="302"/>
        <v>0</v>
      </c>
      <c r="P695" s="123" t="str">
        <f t="shared" si="289"/>
        <v/>
      </c>
      <c r="Q695" s="88">
        <f t="shared" si="303"/>
        <v>-663025.22</v>
      </c>
      <c r="R695" s="123">
        <f t="shared" si="290"/>
        <v>0</v>
      </c>
      <c r="S695" s="88">
        <f t="shared" si="304"/>
        <v>0</v>
      </c>
      <c r="T695" s="123" t="str">
        <f t="shared" si="292"/>
        <v/>
      </c>
      <c r="U695" s="88">
        <f t="shared" si="305"/>
        <v>-663025.22</v>
      </c>
      <c r="V695" s="123">
        <f t="shared" si="306"/>
        <v>0</v>
      </c>
      <c r="W695" s="157">
        <f t="shared" si="294"/>
        <v>11</v>
      </c>
    </row>
    <row r="696" spans="1:23" ht="11.25" customHeight="1" x14ac:dyDescent="0.25">
      <c r="A696" s="51" t="s">
        <v>741</v>
      </c>
      <c r="B696" s="282">
        <f t="shared" si="291"/>
        <v>4</v>
      </c>
      <c r="C696" s="51"/>
      <c r="D696" s="49"/>
      <c r="E696" s="49"/>
      <c r="F696" s="395" t="s">
        <v>1958</v>
      </c>
      <c r="G696" s="396"/>
      <c r="H696" s="50">
        <f t="shared" ref="H696:L696" si="307">H697</f>
        <v>20878811.559999999</v>
      </c>
      <c r="I696" s="50">
        <f t="shared" si="307"/>
        <v>20547568.760000005</v>
      </c>
      <c r="J696" s="135">
        <f t="shared" si="307"/>
        <v>20459999.99999994</v>
      </c>
      <c r="K696" s="346">
        <f t="shared" si="307"/>
        <v>22542913.509999909</v>
      </c>
      <c r="L696" s="152">
        <f t="shared" si="307"/>
        <v>22604150</v>
      </c>
      <c r="O696" s="178">
        <f t="shared" si="302"/>
        <v>2144150.0000000596</v>
      </c>
      <c r="P696" s="179">
        <f t="shared" si="289"/>
        <v>1.1047971652003943</v>
      </c>
      <c r="Q696" s="178">
        <f t="shared" si="303"/>
        <v>2056581.2399999946</v>
      </c>
      <c r="R696" s="179">
        <f t="shared" si="290"/>
        <v>1.1000887873412812</v>
      </c>
      <c r="S696" s="178">
        <f t="shared" si="304"/>
        <v>61236.490000091493</v>
      </c>
      <c r="T696" s="179">
        <f t="shared" si="292"/>
        <v>1.0027164407995854</v>
      </c>
      <c r="U696" s="178">
        <f t="shared" si="305"/>
        <v>1995344.7499999031</v>
      </c>
      <c r="V696" s="179">
        <f t="shared" si="306"/>
        <v>1.0971085568957553</v>
      </c>
      <c r="W696" s="157">
        <f t="shared" si="294"/>
        <v>4</v>
      </c>
    </row>
    <row r="697" spans="1:23" ht="11.25" customHeight="1" x14ac:dyDescent="0.25">
      <c r="A697" s="55" t="s">
        <v>1532</v>
      </c>
      <c r="B697" s="282">
        <f t="shared" si="291"/>
        <v>7</v>
      </c>
      <c r="C697" s="55"/>
      <c r="D697" s="53"/>
      <c r="E697" s="53"/>
      <c r="F697" s="381" t="s">
        <v>743</v>
      </c>
      <c r="G697" s="382"/>
      <c r="H697" s="54">
        <f t="shared" ref="H697:L697" si="308">SUM(H698:H703)</f>
        <v>20878811.559999999</v>
      </c>
      <c r="I697" s="54">
        <f t="shared" si="308"/>
        <v>20547568.760000005</v>
      </c>
      <c r="J697" s="136">
        <f t="shared" si="308"/>
        <v>20459999.99999994</v>
      </c>
      <c r="K697" s="136">
        <f t="shared" si="308"/>
        <v>22542913.509999909</v>
      </c>
      <c r="L697" s="153">
        <f t="shared" si="308"/>
        <v>22604150</v>
      </c>
      <c r="O697" s="88">
        <f t="shared" si="302"/>
        <v>2144150.0000000596</v>
      </c>
      <c r="P697" s="123">
        <f t="shared" si="289"/>
        <v>1.1047971652003943</v>
      </c>
      <c r="Q697" s="88">
        <f t="shared" si="303"/>
        <v>2056581.2399999946</v>
      </c>
      <c r="R697" s="123">
        <f t="shared" si="290"/>
        <v>1.1000887873412812</v>
      </c>
      <c r="S697" s="88">
        <f t="shared" si="304"/>
        <v>61236.490000091493</v>
      </c>
      <c r="T697" s="123">
        <f t="shared" si="292"/>
        <v>1.0027164407995854</v>
      </c>
      <c r="U697" s="88">
        <f t="shared" si="305"/>
        <v>1995344.7499999031</v>
      </c>
      <c r="V697" s="123">
        <f t="shared" si="306"/>
        <v>1.0971085568957553</v>
      </c>
      <c r="W697" s="157">
        <f t="shared" si="294"/>
        <v>7</v>
      </c>
    </row>
    <row r="698" spans="1:23" ht="11.25" customHeight="1" x14ac:dyDescent="0.25">
      <c r="A698" s="42" t="s">
        <v>1533</v>
      </c>
      <c r="B698" s="282">
        <f t="shared" si="291"/>
        <v>11</v>
      </c>
      <c r="C698" s="27" t="s">
        <v>916</v>
      </c>
      <c r="D698" s="28" t="s">
        <v>919</v>
      </c>
      <c r="E698" s="28" t="s">
        <v>917</v>
      </c>
      <c r="F698" s="373" t="s">
        <v>744</v>
      </c>
      <c r="G698" s="374"/>
      <c r="H698" s="11">
        <v>9351870.8499999996</v>
      </c>
      <c r="I698" s="11">
        <v>9573251.9600000009</v>
      </c>
      <c r="J698" s="336">
        <v>9500000</v>
      </c>
      <c r="K698" s="130">
        <v>10483018.419999899</v>
      </c>
      <c r="L698" s="142">
        <v>10296000</v>
      </c>
      <c r="O698" s="88">
        <f t="shared" si="302"/>
        <v>796000</v>
      </c>
      <c r="P698" s="123">
        <f t="shared" si="289"/>
        <v>1.0837894736842106</v>
      </c>
      <c r="Q698" s="88">
        <f t="shared" si="303"/>
        <v>722748.03999999911</v>
      </c>
      <c r="R698" s="123">
        <f t="shared" si="290"/>
        <v>1.0754966069022172</v>
      </c>
      <c r="S698" s="88">
        <f t="shared" si="304"/>
        <v>-187018.41999989934</v>
      </c>
      <c r="T698" s="123">
        <f t="shared" si="292"/>
        <v>0.98215986918013054</v>
      </c>
      <c r="U698" s="88">
        <f t="shared" si="305"/>
        <v>909766.45999989845</v>
      </c>
      <c r="V698" s="123">
        <f t="shared" si="306"/>
        <v>1.095032123232647</v>
      </c>
      <c r="W698" s="157">
        <f t="shared" si="294"/>
        <v>11</v>
      </c>
    </row>
    <row r="699" spans="1:23" ht="11.25" customHeight="1" x14ac:dyDescent="0.25">
      <c r="A699" s="42" t="s">
        <v>1534</v>
      </c>
      <c r="B699" s="282">
        <f t="shared" si="291"/>
        <v>11</v>
      </c>
      <c r="C699" s="27" t="s">
        <v>916</v>
      </c>
      <c r="D699" s="28" t="s">
        <v>919</v>
      </c>
      <c r="E699" s="28" t="s">
        <v>917</v>
      </c>
      <c r="F699" s="373" t="s">
        <v>745</v>
      </c>
      <c r="G699" s="374"/>
      <c r="H699" s="11">
        <v>917676</v>
      </c>
      <c r="I699" s="11">
        <v>902736</v>
      </c>
      <c r="J699" s="336">
        <v>949999.99999999604</v>
      </c>
      <c r="K699" s="130">
        <v>947698</v>
      </c>
      <c r="L699" s="142">
        <v>962000</v>
      </c>
      <c r="O699" s="88">
        <f t="shared" si="302"/>
        <v>12000.000000003958</v>
      </c>
      <c r="P699" s="123">
        <f t="shared" si="289"/>
        <v>1.0126315789473725</v>
      </c>
      <c r="Q699" s="88">
        <f t="shared" si="303"/>
        <v>59264</v>
      </c>
      <c r="R699" s="123">
        <f t="shared" si="290"/>
        <v>1.0656493149713759</v>
      </c>
      <c r="S699" s="88">
        <f t="shared" si="304"/>
        <v>14302</v>
      </c>
      <c r="T699" s="123">
        <f t="shared" si="292"/>
        <v>1.0150913054580679</v>
      </c>
      <c r="U699" s="88">
        <f t="shared" si="305"/>
        <v>44962</v>
      </c>
      <c r="V699" s="123">
        <f t="shared" si="306"/>
        <v>1.0498063664238493</v>
      </c>
      <c r="W699" s="157">
        <f t="shared" si="294"/>
        <v>11</v>
      </c>
    </row>
    <row r="700" spans="1:23" ht="11.25" customHeight="1" x14ac:dyDescent="0.25">
      <c r="A700" s="42" t="s">
        <v>1535</v>
      </c>
      <c r="B700" s="282">
        <f t="shared" si="291"/>
        <v>11</v>
      </c>
      <c r="C700" s="27" t="s">
        <v>916</v>
      </c>
      <c r="D700" s="28" t="s">
        <v>919</v>
      </c>
      <c r="E700" s="28" t="s">
        <v>917</v>
      </c>
      <c r="F700" s="373" t="s">
        <v>746</v>
      </c>
      <c r="G700" s="374"/>
      <c r="H700" s="11">
        <v>8029264.2199999997</v>
      </c>
      <c r="I700" s="11">
        <v>7718707.6699999999</v>
      </c>
      <c r="J700" s="336">
        <v>7629999.9999999898</v>
      </c>
      <c r="K700" s="130">
        <v>8794754.3600000106</v>
      </c>
      <c r="L700" s="142">
        <f>8716000*1.025</f>
        <v>8933900</v>
      </c>
      <c r="M700" s="105" t="s">
        <v>1750</v>
      </c>
      <c r="N700" s="105"/>
      <c r="O700" s="88">
        <f t="shared" si="302"/>
        <v>1303900.0000000102</v>
      </c>
      <c r="P700" s="123">
        <f t="shared" si="289"/>
        <v>1.1708912188728717</v>
      </c>
      <c r="Q700" s="88">
        <f t="shared" si="303"/>
        <v>1215192.33</v>
      </c>
      <c r="R700" s="123">
        <f t="shared" si="290"/>
        <v>1.1574346875090296</v>
      </c>
      <c r="S700" s="88">
        <f t="shared" si="304"/>
        <v>139145.63999998942</v>
      </c>
      <c r="T700" s="123">
        <f t="shared" si="292"/>
        <v>1.0158214356313175</v>
      </c>
      <c r="U700" s="88">
        <f t="shared" si="305"/>
        <v>1076046.6900000107</v>
      </c>
      <c r="V700" s="123">
        <f t="shared" si="306"/>
        <v>1.1394076231416612</v>
      </c>
      <c r="W700" s="157">
        <f t="shared" si="294"/>
        <v>11</v>
      </c>
    </row>
    <row r="701" spans="1:23" ht="11.25" customHeight="1" x14ac:dyDescent="0.25">
      <c r="A701" s="42" t="s">
        <v>1536</v>
      </c>
      <c r="B701" s="282">
        <f t="shared" si="291"/>
        <v>11</v>
      </c>
      <c r="C701" s="27" t="s">
        <v>916</v>
      </c>
      <c r="D701" s="28" t="s">
        <v>919</v>
      </c>
      <c r="E701" s="28" t="s">
        <v>917</v>
      </c>
      <c r="F701" s="373" t="s">
        <v>747</v>
      </c>
      <c r="G701" s="374"/>
      <c r="H701" s="11">
        <v>1805187.84</v>
      </c>
      <c r="I701" s="11">
        <v>1526135.94</v>
      </c>
      <c r="J701" s="336">
        <v>1589999.99999999</v>
      </c>
      <c r="K701" s="130">
        <v>1516605.02</v>
      </c>
      <c r="L701" s="142">
        <v>1590000</v>
      </c>
      <c r="O701" s="88">
        <f t="shared" si="302"/>
        <v>1.0011717677116394E-8</v>
      </c>
      <c r="P701" s="123">
        <f t="shared" si="289"/>
        <v>1.0000000000000062</v>
      </c>
      <c r="Q701" s="88">
        <f t="shared" si="303"/>
        <v>63864.060000000056</v>
      </c>
      <c r="R701" s="123">
        <f t="shared" si="290"/>
        <v>1.0418469012662135</v>
      </c>
      <c r="S701" s="88">
        <f t="shared" si="304"/>
        <v>73394.979999999981</v>
      </c>
      <c r="T701" s="123">
        <f t="shared" si="292"/>
        <v>1.0483942615460946</v>
      </c>
      <c r="U701" s="88">
        <f t="shared" si="305"/>
        <v>-9530.9199999999255</v>
      </c>
      <c r="V701" s="123">
        <f t="shared" si="306"/>
        <v>0.99375486825898363</v>
      </c>
      <c r="W701" s="157">
        <f t="shared" si="294"/>
        <v>11</v>
      </c>
    </row>
    <row r="702" spans="1:23" ht="11.25" customHeight="1" x14ac:dyDescent="0.25">
      <c r="A702" s="42" t="s">
        <v>1537</v>
      </c>
      <c r="B702" s="282">
        <f t="shared" si="291"/>
        <v>11</v>
      </c>
      <c r="C702" s="27" t="s">
        <v>916</v>
      </c>
      <c r="D702" s="28" t="s">
        <v>919</v>
      </c>
      <c r="E702" s="28" t="s">
        <v>917</v>
      </c>
      <c r="F702" s="373" t="s">
        <v>748</v>
      </c>
      <c r="G702" s="374"/>
      <c r="H702" s="11">
        <v>364880.49</v>
      </c>
      <c r="I702" s="11">
        <v>325047.34000000003</v>
      </c>
      <c r="J702" s="336">
        <v>319999.99999997701</v>
      </c>
      <c r="K702" s="130">
        <v>305146.06</v>
      </c>
      <c r="L702" s="142">
        <v>320000</v>
      </c>
      <c r="O702" s="88">
        <f t="shared" si="302"/>
        <v>2.2992026060819626E-8</v>
      </c>
      <c r="P702" s="123">
        <f t="shared" si="289"/>
        <v>1.0000000000000719</v>
      </c>
      <c r="Q702" s="88">
        <f t="shared" si="303"/>
        <v>-5047.3400000000256</v>
      </c>
      <c r="R702" s="123">
        <f t="shared" si="290"/>
        <v>0.98447198491149002</v>
      </c>
      <c r="S702" s="88">
        <f t="shared" si="304"/>
        <v>14853.940000000002</v>
      </c>
      <c r="T702" s="123">
        <f t="shared" si="292"/>
        <v>1.048678131384033</v>
      </c>
      <c r="U702" s="88">
        <f t="shared" si="305"/>
        <v>-19901.280000000028</v>
      </c>
      <c r="V702" s="123">
        <f t="shared" si="306"/>
        <v>0.93877421055037702</v>
      </c>
      <c r="W702" s="157">
        <f t="shared" si="294"/>
        <v>11</v>
      </c>
    </row>
    <row r="703" spans="1:23" ht="11.25" customHeight="1" x14ac:dyDescent="0.25">
      <c r="A703" s="42" t="s">
        <v>1538</v>
      </c>
      <c r="B703" s="282">
        <f t="shared" si="291"/>
        <v>11</v>
      </c>
      <c r="C703" s="27" t="s">
        <v>916</v>
      </c>
      <c r="D703" s="28" t="s">
        <v>919</v>
      </c>
      <c r="E703" s="28" t="s">
        <v>917</v>
      </c>
      <c r="F703" s="373" t="s">
        <v>749</v>
      </c>
      <c r="G703" s="374"/>
      <c r="H703" s="11">
        <v>409932.16</v>
      </c>
      <c r="I703" s="11">
        <v>501689.85</v>
      </c>
      <c r="J703" s="336">
        <v>469999.999999989</v>
      </c>
      <c r="K703" s="130">
        <v>495691.65</v>
      </c>
      <c r="L703" s="142">
        <f>490000*1.025</f>
        <v>502249.99999999994</v>
      </c>
      <c r="O703" s="88">
        <f t="shared" si="302"/>
        <v>32250.000000010943</v>
      </c>
      <c r="P703" s="123">
        <f t="shared" si="289"/>
        <v>1.0686170212766206</v>
      </c>
      <c r="Q703" s="88">
        <f t="shared" si="303"/>
        <v>560.14999999996508</v>
      </c>
      <c r="R703" s="123">
        <f t="shared" si="290"/>
        <v>1.0011165264754709</v>
      </c>
      <c r="S703" s="88">
        <f t="shared" si="304"/>
        <v>6558.3499999999185</v>
      </c>
      <c r="T703" s="123">
        <f t="shared" si="292"/>
        <v>1.0132307050159104</v>
      </c>
      <c r="U703" s="88">
        <f t="shared" si="305"/>
        <v>-5998.1999999999534</v>
      </c>
      <c r="V703" s="123">
        <f t="shared" si="306"/>
        <v>0.98804400766728695</v>
      </c>
      <c r="W703" s="157">
        <f t="shared" si="294"/>
        <v>11</v>
      </c>
    </row>
    <row r="704" spans="1:23" ht="11.25" customHeight="1" x14ac:dyDescent="0.25">
      <c r="A704" s="51" t="s">
        <v>750</v>
      </c>
      <c r="B704" s="282">
        <f t="shared" si="291"/>
        <v>4</v>
      </c>
      <c r="C704" s="51"/>
      <c r="D704" s="49"/>
      <c r="E704" s="49"/>
      <c r="F704" s="395" t="s">
        <v>1959</v>
      </c>
      <c r="G704" s="396"/>
      <c r="H704" s="50">
        <f t="shared" ref="H704:L704" si="309">H705</f>
        <v>5438009</v>
      </c>
      <c r="I704" s="50">
        <f t="shared" si="309"/>
        <v>5848049.25</v>
      </c>
      <c r="J704" s="135">
        <f t="shared" si="309"/>
        <v>5800000</v>
      </c>
      <c r="K704" s="346">
        <f t="shared" si="309"/>
        <v>6033253.1399999997</v>
      </c>
      <c r="L704" s="152">
        <f t="shared" si="309"/>
        <v>5900000</v>
      </c>
      <c r="O704" s="178">
        <f t="shared" si="302"/>
        <v>100000</v>
      </c>
      <c r="P704" s="179">
        <f t="shared" si="289"/>
        <v>1.0172413793103448</v>
      </c>
      <c r="Q704" s="178">
        <f t="shared" si="303"/>
        <v>51950.75</v>
      </c>
      <c r="R704" s="179">
        <f t="shared" si="290"/>
        <v>1.0088834323684945</v>
      </c>
      <c r="S704" s="178">
        <f t="shared" si="304"/>
        <v>-133253.13999999966</v>
      </c>
      <c r="T704" s="179">
        <f t="shared" si="292"/>
        <v>0.97791355063215535</v>
      </c>
      <c r="U704" s="178">
        <f t="shared" si="305"/>
        <v>185203.88999999966</v>
      </c>
      <c r="V704" s="179">
        <f t="shared" si="306"/>
        <v>1.0316693451239316</v>
      </c>
      <c r="W704" s="157">
        <f t="shared" si="294"/>
        <v>4</v>
      </c>
    </row>
    <row r="705" spans="1:23" ht="11.25" customHeight="1" x14ac:dyDescent="0.25">
      <c r="A705" s="55" t="s">
        <v>1539</v>
      </c>
      <c r="B705" s="282">
        <f t="shared" si="291"/>
        <v>7</v>
      </c>
      <c r="C705" s="55"/>
      <c r="D705" s="53"/>
      <c r="E705" s="53"/>
      <c r="F705" s="381" t="s">
        <v>752</v>
      </c>
      <c r="G705" s="382"/>
      <c r="H705" s="54">
        <f t="shared" ref="H705:L705" si="310">SUM(H706)</f>
        <v>5438009</v>
      </c>
      <c r="I705" s="54">
        <f t="shared" si="310"/>
        <v>5848049.25</v>
      </c>
      <c r="J705" s="136">
        <f t="shared" si="310"/>
        <v>5800000</v>
      </c>
      <c r="K705" s="136">
        <f t="shared" si="310"/>
        <v>6033253.1399999997</v>
      </c>
      <c r="L705" s="153">
        <f t="shared" si="310"/>
        <v>5900000</v>
      </c>
      <c r="O705" s="88">
        <f t="shared" si="302"/>
        <v>100000</v>
      </c>
      <c r="P705" s="123">
        <f t="shared" si="289"/>
        <v>1.0172413793103448</v>
      </c>
      <c r="Q705" s="88">
        <f t="shared" si="303"/>
        <v>51950.75</v>
      </c>
      <c r="R705" s="123">
        <f t="shared" si="290"/>
        <v>1.0088834323684945</v>
      </c>
      <c r="S705" s="88">
        <f t="shared" si="304"/>
        <v>-133253.13999999966</v>
      </c>
      <c r="T705" s="123">
        <f t="shared" si="292"/>
        <v>0.97791355063215535</v>
      </c>
      <c r="U705" s="88">
        <f t="shared" si="305"/>
        <v>185203.88999999966</v>
      </c>
      <c r="V705" s="123">
        <f t="shared" si="306"/>
        <v>1.0316693451239316</v>
      </c>
      <c r="W705" s="157">
        <f t="shared" si="294"/>
        <v>7</v>
      </c>
    </row>
    <row r="706" spans="1:23" ht="11.25" customHeight="1" x14ac:dyDescent="0.25">
      <c r="A706" s="42" t="s">
        <v>1540</v>
      </c>
      <c r="B706" s="282">
        <f t="shared" si="291"/>
        <v>11</v>
      </c>
      <c r="C706" s="20" t="s">
        <v>916</v>
      </c>
      <c r="D706" s="20" t="s">
        <v>920</v>
      </c>
      <c r="E706" s="20" t="s">
        <v>1523</v>
      </c>
      <c r="F706" s="373" t="s">
        <v>753</v>
      </c>
      <c r="G706" s="374"/>
      <c r="H706" s="11">
        <v>5438009</v>
      </c>
      <c r="I706" s="11">
        <v>5848049.25</v>
      </c>
      <c r="J706" s="336">
        <v>5800000</v>
      </c>
      <c r="K706" s="130">
        <v>6033253.1399999997</v>
      </c>
      <c r="L706" s="141">
        <v>5900000</v>
      </c>
      <c r="O706" s="88">
        <f t="shared" si="302"/>
        <v>100000</v>
      </c>
      <c r="P706" s="123">
        <f t="shared" si="289"/>
        <v>1.0172413793103448</v>
      </c>
      <c r="Q706" s="88">
        <f t="shared" si="303"/>
        <v>51950.75</v>
      </c>
      <c r="R706" s="123">
        <f t="shared" si="290"/>
        <v>1.0088834323684945</v>
      </c>
      <c r="S706" s="88">
        <f t="shared" si="304"/>
        <v>-133253.13999999966</v>
      </c>
      <c r="T706" s="123">
        <f t="shared" si="292"/>
        <v>0.97791355063215535</v>
      </c>
      <c r="U706" s="88">
        <f t="shared" si="305"/>
        <v>185203.88999999966</v>
      </c>
      <c r="V706" s="123">
        <f t="shared" si="306"/>
        <v>1.0316693451239316</v>
      </c>
      <c r="W706" s="157">
        <f t="shared" si="294"/>
        <v>11</v>
      </c>
    </row>
    <row r="707" spans="1:23" ht="11.25" customHeight="1" x14ac:dyDescent="0.25">
      <c r="A707" s="58" t="s">
        <v>754</v>
      </c>
      <c r="B707" s="282">
        <f t="shared" si="291"/>
        <v>3</v>
      </c>
      <c r="C707" s="58"/>
      <c r="D707" s="59"/>
      <c r="E707" s="59"/>
      <c r="F707" s="397" t="s">
        <v>755</v>
      </c>
      <c r="G707" s="398"/>
      <c r="H707" s="61">
        <f>H708</f>
        <v>0</v>
      </c>
      <c r="I707" s="61">
        <f>I708</f>
        <v>0</v>
      </c>
      <c r="J707" s="134">
        <f>J708</f>
        <v>0</v>
      </c>
      <c r="K707" s="134">
        <f t="shared" ref="K707:L707" si="311">K708</f>
        <v>0</v>
      </c>
      <c r="L707" s="151">
        <f t="shared" si="311"/>
        <v>0</v>
      </c>
      <c r="O707" s="88">
        <f t="shared" si="302"/>
        <v>0</v>
      </c>
      <c r="P707" s="123" t="str">
        <f t="shared" si="289"/>
        <v/>
      </c>
      <c r="Q707" s="88">
        <f t="shared" si="303"/>
        <v>0</v>
      </c>
      <c r="R707" s="123" t="str">
        <f t="shared" si="290"/>
        <v/>
      </c>
      <c r="S707" s="88">
        <f t="shared" si="304"/>
        <v>0</v>
      </c>
      <c r="T707" s="123" t="str">
        <f t="shared" si="292"/>
        <v/>
      </c>
      <c r="U707" s="88">
        <f t="shared" si="305"/>
        <v>0</v>
      </c>
      <c r="V707" s="123" t="str">
        <f t="shared" si="306"/>
        <v/>
      </c>
      <c r="W707" s="157">
        <f t="shared" si="294"/>
        <v>3</v>
      </c>
    </row>
    <row r="708" spans="1:23" ht="11.25" customHeight="1" x14ac:dyDescent="0.25">
      <c r="A708" s="51" t="s">
        <v>756</v>
      </c>
      <c r="B708" s="282">
        <f t="shared" si="291"/>
        <v>4</v>
      </c>
      <c r="C708" s="51"/>
      <c r="D708" s="49"/>
      <c r="E708" s="49"/>
      <c r="F708" s="395" t="s">
        <v>757</v>
      </c>
      <c r="G708" s="396"/>
      <c r="H708" s="50">
        <v>0</v>
      </c>
      <c r="I708" s="50">
        <v>0</v>
      </c>
      <c r="J708" s="135">
        <v>0</v>
      </c>
      <c r="K708" s="135">
        <v>0</v>
      </c>
      <c r="L708" s="152">
        <v>0</v>
      </c>
      <c r="O708" s="178">
        <f t="shared" si="302"/>
        <v>0</v>
      </c>
      <c r="P708" s="179" t="str">
        <f t="shared" si="289"/>
        <v/>
      </c>
      <c r="Q708" s="178">
        <f t="shared" si="303"/>
        <v>0</v>
      </c>
      <c r="R708" s="179" t="str">
        <f t="shared" si="290"/>
        <v/>
      </c>
      <c r="S708" s="178">
        <f t="shared" si="304"/>
        <v>0</v>
      </c>
      <c r="T708" s="179" t="str">
        <f t="shared" si="292"/>
        <v/>
      </c>
      <c r="U708" s="178">
        <f t="shared" si="305"/>
        <v>0</v>
      </c>
      <c r="V708" s="179" t="str">
        <f t="shared" si="306"/>
        <v/>
      </c>
      <c r="W708" s="157">
        <f t="shared" si="294"/>
        <v>4</v>
      </c>
    </row>
    <row r="709" spans="1:23" ht="11.25" customHeight="1" x14ac:dyDescent="0.25">
      <c r="A709" s="58" t="s">
        <v>758</v>
      </c>
      <c r="B709" s="282">
        <f t="shared" si="291"/>
        <v>3</v>
      </c>
      <c r="C709" s="58"/>
      <c r="D709" s="59"/>
      <c r="E709" s="59"/>
      <c r="F709" s="397" t="s">
        <v>759</v>
      </c>
      <c r="G709" s="398"/>
      <c r="H709" s="61">
        <f>H710+H711+H712+H713</f>
        <v>0</v>
      </c>
      <c r="I709" s="61">
        <f>I710+I711+I712+I713</f>
        <v>0</v>
      </c>
      <c r="J709" s="134">
        <f>J710+J711+J712+J713</f>
        <v>0</v>
      </c>
      <c r="K709" s="134">
        <f t="shared" ref="K709:L709" si="312">K710+K711+K712+K713</f>
        <v>0</v>
      </c>
      <c r="L709" s="151">
        <f t="shared" si="312"/>
        <v>0</v>
      </c>
      <c r="O709" s="88">
        <f t="shared" si="302"/>
        <v>0</v>
      </c>
      <c r="P709" s="123" t="str">
        <f t="shared" si="289"/>
        <v/>
      </c>
      <c r="Q709" s="88">
        <f t="shared" si="303"/>
        <v>0</v>
      </c>
      <c r="R709" s="123" t="str">
        <f t="shared" si="290"/>
        <v/>
      </c>
      <c r="S709" s="88">
        <f t="shared" si="304"/>
        <v>0</v>
      </c>
      <c r="T709" s="123" t="str">
        <f t="shared" si="292"/>
        <v/>
      </c>
      <c r="U709" s="88">
        <f t="shared" si="305"/>
        <v>0</v>
      </c>
      <c r="V709" s="123" t="str">
        <f t="shared" si="306"/>
        <v/>
      </c>
      <c r="W709" s="157">
        <f t="shared" si="294"/>
        <v>3</v>
      </c>
    </row>
    <row r="710" spans="1:23" ht="11.25" customHeight="1" x14ac:dyDescent="0.25">
      <c r="A710" s="51" t="s">
        <v>760</v>
      </c>
      <c r="B710" s="282">
        <f t="shared" si="291"/>
        <v>4</v>
      </c>
      <c r="C710" s="51"/>
      <c r="D710" s="49"/>
      <c r="E710" s="49"/>
      <c r="F710" s="395" t="s">
        <v>635</v>
      </c>
      <c r="G710" s="396"/>
      <c r="H710" s="50">
        <v>0</v>
      </c>
      <c r="I710" s="50">
        <v>0</v>
      </c>
      <c r="J710" s="135">
        <v>0</v>
      </c>
      <c r="K710" s="135">
        <v>0</v>
      </c>
      <c r="L710" s="152">
        <v>0</v>
      </c>
      <c r="O710" s="178">
        <f t="shared" si="302"/>
        <v>0</v>
      </c>
      <c r="P710" s="179" t="str">
        <f t="shared" si="289"/>
        <v/>
      </c>
      <c r="Q710" s="178">
        <f t="shared" si="303"/>
        <v>0</v>
      </c>
      <c r="R710" s="179" t="str">
        <f t="shared" si="290"/>
        <v/>
      </c>
      <c r="S710" s="178">
        <f t="shared" si="304"/>
        <v>0</v>
      </c>
      <c r="T710" s="179" t="str">
        <f t="shared" si="292"/>
        <v/>
      </c>
      <c r="U710" s="178">
        <f t="shared" si="305"/>
        <v>0</v>
      </c>
      <c r="V710" s="179" t="str">
        <f t="shared" si="306"/>
        <v/>
      </c>
      <c r="W710" s="157">
        <f t="shared" si="294"/>
        <v>4</v>
      </c>
    </row>
    <row r="711" spans="1:23" ht="11.25" customHeight="1" x14ac:dyDescent="0.25">
      <c r="A711" s="51" t="s">
        <v>761</v>
      </c>
      <c r="B711" s="282">
        <f t="shared" si="291"/>
        <v>4</v>
      </c>
      <c r="C711" s="51"/>
      <c r="D711" s="49"/>
      <c r="E711" s="49"/>
      <c r="F711" s="395" t="s">
        <v>637</v>
      </c>
      <c r="G711" s="396"/>
      <c r="H711" s="50">
        <v>0</v>
      </c>
      <c r="I711" s="50">
        <v>0</v>
      </c>
      <c r="J711" s="135">
        <v>0</v>
      </c>
      <c r="K711" s="135">
        <v>0</v>
      </c>
      <c r="L711" s="152">
        <v>0</v>
      </c>
      <c r="O711" s="178">
        <f t="shared" si="302"/>
        <v>0</v>
      </c>
      <c r="P711" s="179" t="str">
        <f t="shared" si="289"/>
        <v/>
      </c>
      <c r="Q711" s="178">
        <f t="shared" si="303"/>
        <v>0</v>
      </c>
      <c r="R711" s="179" t="str">
        <f t="shared" si="290"/>
        <v/>
      </c>
      <c r="S711" s="178">
        <f t="shared" si="304"/>
        <v>0</v>
      </c>
      <c r="T711" s="179" t="str">
        <f t="shared" si="292"/>
        <v/>
      </c>
      <c r="U711" s="178">
        <f t="shared" si="305"/>
        <v>0</v>
      </c>
      <c r="V711" s="179" t="str">
        <f t="shared" si="306"/>
        <v/>
      </c>
      <c r="W711" s="157">
        <f t="shared" si="294"/>
        <v>4</v>
      </c>
    </row>
    <row r="712" spans="1:23" ht="11.25" customHeight="1" x14ac:dyDescent="0.25">
      <c r="A712" s="51" t="s">
        <v>762</v>
      </c>
      <c r="B712" s="282">
        <f t="shared" si="291"/>
        <v>4</v>
      </c>
      <c r="C712" s="51"/>
      <c r="D712" s="49"/>
      <c r="E712" s="49"/>
      <c r="F712" s="395" t="s">
        <v>639</v>
      </c>
      <c r="G712" s="396"/>
      <c r="H712" s="50">
        <v>0</v>
      </c>
      <c r="I712" s="50">
        <v>0</v>
      </c>
      <c r="J712" s="135">
        <v>0</v>
      </c>
      <c r="K712" s="135">
        <v>0</v>
      </c>
      <c r="L712" s="152">
        <v>0</v>
      </c>
      <c r="O712" s="178">
        <f t="shared" si="302"/>
        <v>0</v>
      </c>
      <c r="P712" s="179" t="str">
        <f t="shared" si="289"/>
        <v/>
      </c>
      <c r="Q712" s="178">
        <f t="shared" si="303"/>
        <v>0</v>
      </c>
      <c r="R712" s="179" t="str">
        <f t="shared" si="290"/>
        <v/>
      </c>
      <c r="S712" s="178">
        <f t="shared" si="304"/>
        <v>0</v>
      </c>
      <c r="T712" s="179" t="str">
        <f t="shared" si="292"/>
        <v/>
      </c>
      <c r="U712" s="178">
        <f t="shared" si="305"/>
        <v>0</v>
      </c>
      <c r="V712" s="179" t="str">
        <f t="shared" si="306"/>
        <v/>
      </c>
      <c r="W712" s="157">
        <f t="shared" si="294"/>
        <v>4</v>
      </c>
    </row>
    <row r="713" spans="1:23" ht="11.25" customHeight="1" x14ac:dyDescent="0.25">
      <c r="A713" s="51" t="s">
        <v>763</v>
      </c>
      <c r="B713" s="282">
        <f t="shared" si="291"/>
        <v>4</v>
      </c>
      <c r="C713" s="51"/>
      <c r="D713" s="49"/>
      <c r="E713" s="49"/>
      <c r="F713" s="395" t="s">
        <v>764</v>
      </c>
      <c r="G713" s="396"/>
      <c r="H713" s="50">
        <v>0</v>
      </c>
      <c r="I713" s="50">
        <v>0</v>
      </c>
      <c r="J713" s="135">
        <v>0</v>
      </c>
      <c r="K713" s="135">
        <v>0</v>
      </c>
      <c r="L713" s="152">
        <v>0</v>
      </c>
      <c r="O713" s="178">
        <f t="shared" si="302"/>
        <v>0</v>
      </c>
      <c r="P713" s="179" t="str">
        <f t="shared" si="289"/>
        <v/>
      </c>
      <c r="Q713" s="178">
        <f t="shared" si="303"/>
        <v>0</v>
      </c>
      <c r="R713" s="179" t="str">
        <f t="shared" si="290"/>
        <v/>
      </c>
      <c r="S713" s="178">
        <f t="shared" si="304"/>
        <v>0</v>
      </c>
      <c r="T713" s="179" t="str">
        <f t="shared" si="292"/>
        <v/>
      </c>
      <c r="U713" s="178">
        <f t="shared" si="305"/>
        <v>0</v>
      </c>
      <c r="V713" s="179" t="str">
        <f t="shared" si="306"/>
        <v/>
      </c>
      <c r="W713" s="157">
        <f t="shared" si="294"/>
        <v>4</v>
      </c>
    </row>
    <row r="714" spans="1:23" ht="11.25" customHeight="1" x14ac:dyDescent="0.25">
      <c r="A714" s="58" t="s">
        <v>765</v>
      </c>
      <c r="B714" s="282">
        <f t="shared" si="291"/>
        <v>3</v>
      </c>
      <c r="C714" s="58"/>
      <c r="D714" s="59"/>
      <c r="E714" s="59"/>
      <c r="F714" s="397" t="s">
        <v>766</v>
      </c>
      <c r="G714" s="398"/>
      <c r="H714" s="61">
        <f t="shared" ref="H714:L714" si="313">H715+H720+H721+H724+H731+H734+H743</f>
        <v>182493026.52000004</v>
      </c>
      <c r="I714" s="61">
        <f t="shared" si="313"/>
        <v>382642646.09999996</v>
      </c>
      <c r="J714" s="134">
        <f t="shared" si="313"/>
        <v>357626409.02527046</v>
      </c>
      <c r="K714" s="134">
        <f t="shared" si="313"/>
        <v>400622186.75000006</v>
      </c>
      <c r="L714" s="151">
        <f t="shared" si="313"/>
        <v>348407520</v>
      </c>
      <c r="O714" s="88">
        <f t="shared" si="302"/>
        <v>-9218889.025270462</v>
      </c>
      <c r="P714" s="123">
        <f t="shared" si="289"/>
        <v>0.97422201271321929</v>
      </c>
      <c r="Q714" s="88">
        <f t="shared" si="303"/>
        <v>-34235126.099999964</v>
      </c>
      <c r="R714" s="123">
        <f t="shared" si="290"/>
        <v>0.91052976857406287</v>
      </c>
      <c r="S714" s="88">
        <f t="shared" si="304"/>
        <v>-52214666.75000006</v>
      </c>
      <c r="T714" s="123">
        <f t="shared" si="292"/>
        <v>0.86966606324630857</v>
      </c>
      <c r="U714" s="88">
        <f t="shared" si="305"/>
        <v>17979540.650000095</v>
      </c>
      <c r="V714" s="123">
        <f t="shared" si="306"/>
        <v>1.0469878118219507</v>
      </c>
      <c r="W714" s="157">
        <f t="shared" si="294"/>
        <v>3</v>
      </c>
    </row>
    <row r="715" spans="1:23" ht="11.25" customHeight="1" x14ac:dyDescent="0.25">
      <c r="A715" s="51" t="s">
        <v>767</v>
      </c>
      <c r="B715" s="282">
        <f t="shared" si="291"/>
        <v>4</v>
      </c>
      <c r="C715" s="51"/>
      <c r="D715" s="49"/>
      <c r="E715" s="49"/>
      <c r="F715" s="395" t="s">
        <v>768</v>
      </c>
      <c r="G715" s="396"/>
      <c r="H715" s="50">
        <f t="shared" ref="H715:L715" si="314">H716</f>
        <v>1377677.5</v>
      </c>
      <c r="I715" s="50">
        <f t="shared" si="314"/>
        <v>2046673.74</v>
      </c>
      <c r="J715" s="135">
        <f t="shared" si="314"/>
        <v>0</v>
      </c>
      <c r="K715" s="346">
        <f t="shared" si="314"/>
        <v>10275865.250000002</v>
      </c>
      <c r="L715" s="152">
        <f t="shared" si="314"/>
        <v>0</v>
      </c>
      <c r="O715" s="178">
        <f t="shared" si="302"/>
        <v>0</v>
      </c>
      <c r="P715" s="179" t="str">
        <f t="shared" ref="P715:P777" si="315">IF(J715=0,"",L715/J715)</f>
        <v/>
      </c>
      <c r="Q715" s="178">
        <f t="shared" si="303"/>
        <v>-2046673.74</v>
      </c>
      <c r="R715" s="179">
        <f t="shared" ref="R715:R777" si="316">IF(I715=0,"",L715/I715)</f>
        <v>0</v>
      </c>
      <c r="S715" s="178">
        <f t="shared" si="304"/>
        <v>-10275865.250000002</v>
      </c>
      <c r="T715" s="179">
        <f t="shared" si="292"/>
        <v>0</v>
      </c>
      <c r="U715" s="178">
        <f t="shared" si="305"/>
        <v>8229191.5100000016</v>
      </c>
      <c r="V715" s="179">
        <f t="shared" si="306"/>
        <v>5.0207637148850122</v>
      </c>
      <c r="W715" s="157">
        <f t="shared" si="294"/>
        <v>4</v>
      </c>
    </row>
    <row r="716" spans="1:23" ht="11.25" customHeight="1" x14ac:dyDescent="0.25">
      <c r="A716" s="55" t="s">
        <v>1541</v>
      </c>
      <c r="B716" s="282">
        <f t="shared" ref="B716:B779" si="317">LEN(A716)</f>
        <v>7</v>
      </c>
      <c r="C716" s="55"/>
      <c r="D716" s="53"/>
      <c r="E716" s="53"/>
      <c r="F716" s="381" t="s">
        <v>769</v>
      </c>
      <c r="G716" s="382"/>
      <c r="H716" s="54">
        <f t="shared" ref="H716:L716" si="318">SUM(H717:H719)</f>
        <v>1377677.5</v>
      </c>
      <c r="I716" s="54">
        <f t="shared" si="318"/>
        <v>2046673.74</v>
      </c>
      <c r="J716" s="136">
        <f t="shared" si="318"/>
        <v>0</v>
      </c>
      <c r="K716" s="136">
        <f t="shared" si="318"/>
        <v>10275865.250000002</v>
      </c>
      <c r="L716" s="153">
        <f t="shared" si="318"/>
        <v>0</v>
      </c>
      <c r="O716" s="88">
        <f t="shared" si="302"/>
        <v>0</v>
      </c>
      <c r="P716" s="123" t="str">
        <f t="shared" si="315"/>
        <v/>
      </c>
      <c r="Q716" s="88">
        <f t="shared" si="303"/>
        <v>-2046673.74</v>
      </c>
      <c r="R716" s="123">
        <f t="shared" si="316"/>
        <v>0</v>
      </c>
      <c r="S716" s="88">
        <f t="shared" si="304"/>
        <v>-10275865.250000002</v>
      </c>
      <c r="T716" s="123">
        <f t="shared" si="292"/>
        <v>0</v>
      </c>
      <c r="U716" s="88">
        <f t="shared" si="305"/>
        <v>8229191.5100000016</v>
      </c>
      <c r="V716" s="123">
        <f t="shared" si="306"/>
        <v>5.0207637148850122</v>
      </c>
      <c r="W716" s="157">
        <f t="shared" si="294"/>
        <v>7</v>
      </c>
    </row>
    <row r="717" spans="1:23" ht="11.25" customHeight="1" x14ac:dyDescent="0.25">
      <c r="A717" s="42" t="s">
        <v>1542</v>
      </c>
      <c r="B717" s="282">
        <f t="shared" si="317"/>
        <v>11</v>
      </c>
      <c r="C717" s="14"/>
      <c r="D717" s="13"/>
      <c r="E717" s="13"/>
      <c r="F717" s="373" t="s">
        <v>770</v>
      </c>
      <c r="G717" s="374"/>
      <c r="H717" s="11">
        <v>1352429.85</v>
      </c>
      <c r="I717" s="11">
        <v>1130327.3600000001</v>
      </c>
      <c r="J717" s="336">
        <v>0</v>
      </c>
      <c r="K717" s="130">
        <v>9446187.4000000004</v>
      </c>
      <c r="L717" s="141"/>
      <c r="O717" s="88">
        <f t="shared" si="302"/>
        <v>0</v>
      </c>
      <c r="P717" s="123" t="str">
        <f t="shared" si="315"/>
        <v/>
      </c>
      <c r="Q717" s="88">
        <f t="shared" si="303"/>
        <v>-1130327.3600000001</v>
      </c>
      <c r="R717" s="123">
        <f t="shared" si="316"/>
        <v>0</v>
      </c>
      <c r="S717" s="88">
        <f t="shared" si="304"/>
        <v>-9446187.4000000004</v>
      </c>
      <c r="T717" s="123">
        <f t="shared" ref="T717:T779" si="319">IF(K717=0,"",L717/K717)</f>
        <v>0</v>
      </c>
      <c r="U717" s="88">
        <f t="shared" si="305"/>
        <v>8315860.04</v>
      </c>
      <c r="V717" s="123">
        <f t="shared" si="306"/>
        <v>8.357036849926379</v>
      </c>
      <c r="W717" s="157">
        <f t="shared" si="294"/>
        <v>11</v>
      </c>
    </row>
    <row r="718" spans="1:23" ht="11.25" customHeight="1" x14ac:dyDescent="0.25">
      <c r="A718" s="42" t="s">
        <v>1543</v>
      </c>
      <c r="B718" s="282">
        <f t="shared" si="317"/>
        <v>11</v>
      </c>
      <c r="C718" s="14"/>
      <c r="D718" s="13"/>
      <c r="E718" s="13"/>
      <c r="F718" s="373" t="s">
        <v>771</v>
      </c>
      <c r="G718" s="374"/>
      <c r="H718" s="11">
        <v>0</v>
      </c>
      <c r="I718" s="11">
        <v>898246.39</v>
      </c>
      <c r="J718" s="336">
        <v>0</v>
      </c>
      <c r="K718" s="130">
        <v>780097.3</v>
      </c>
      <c r="L718" s="141"/>
      <c r="O718" s="88">
        <f t="shared" si="302"/>
        <v>0</v>
      </c>
      <c r="P718" s="123" t="str">
        <f t="shared" si="315"/>
        <v/>
      </c>
      <c r="Q718" s="88">
        <f t="shared" si="303"/>
        <v>-898246.39</v>
      </c>
      <c r="R718" s="123">
        <f t="shared" si="316"/>
        <v>0</v>
      </c>
      <c r="S718" s="88">
        <f t="shared" si="304"/>
        <v>-780097.3</v>
      </c>
      <c r="T718" s="123">
        <f t="shared" si="319"/>
        <v>0</v>
      </c>
      <c r="U718" s="88">
        <f t="shared" si="305"/>
        <v>-118149.08999999997</v>
      </c>
      <c r="V718" s="123">
        <f t="shared" si="306"/>
        <v>0.86846694702552607</v>
      </c>
      <c r="W718" s="157">
        <f t="shared" si="294"/>
        <v>11</v>
      </c>
    </row>
    <row r="719" spans="1:23" ht="11.25" customHeight="1" x14ac:dyDescent="0.25">
      <c r="A719" s="42" t="s">
        <v>1544</v>
      </c>
      <c r="B719" s="282">
        <f t="shared" si="317"/>
        <v>11</v>
      </c>
      <c r="C719" s="14"/>
      <c r="D719" s="13"/>
      <c r="E719" s="13"/>
      <c r="F719" s="373" t="s">
        <v>772</v>
      </c>
      <c r="G719" s="374"/>
      <c r="H719" s="11">
        <v>25247.65</v>
      </c>
      <c r="I719" s="11">
        <v>18099.990000000002</v>
      </c>
      <c r="J719" s="336">
        <v>0</v>
      </c>
      <c r="K719" s="130">
        <v>49580.55</v>
      </c>
      <c r="L719" s="141"/>
      <c r="O719" s="88">
        <f t="shared" si="302"/>
        <v>0</v>
      </c>
      <c r="P719" s="123" t="str">
        <f t="shared" si="315"/>
        <v/>
      </c>
      <c r="Q719" s="88">
        <f t="shared" si="303"/>
        <v>-18099.990000000002</v>
      </c>
      <c r="R719" s="123">
        <f t="shared" si="316"/>
        <v>0</v>
      </c>
      <c r="S719" s="88">
        <f t="shared" si="304"/>
        <v>-49580.55</v>
      </c>
      <c r="T719" s="123">
        <f t="shared" si="319"/>
        <v>0</v>
      </c>
      <c r="U719" s="88">
        <f t="shared" si="305"/>
        <v>31480.560000000001</v>
      </c>
      <c r="V719" s="123">
        <f t="shared" si="306"/>
        <v>2.7392584194797895</v>
      </c>
      <c r="W719" s="157">
        <f t="shared" ref="W719:W781" si="320">LEN(A719)</f>
        <v>11</v>
      </c>
    </row>
    <row r="720" spans="1:23" ht="11.25" customHeight="1" x14ac:dyDescent="0.25">
      <c r="A720" s="51" t="s">
        <v>773</v>
      </c>
      <c r="B720" s="282">
        <f t="shared" si="317"/>
        <v>4</v>
      </c>
      <c r="C720" s="51"/>
      <c r="D720" s="49"/>
      <c r="E720" s="49"/>
      <c r="F720" s="395" t="s">
        <v>1731</v>
      </c>
      <c r="G720" s="396"/>
      <c r="H720" s="50">
        <v>0</v>
      </c>
      <c r="I720" s="50">
        <v>0</v>
      </c>
      <c r="J720" s="135">
        <v>0</v>
      </c>
      <c r="K720" s="135">
        <v>0</v>
      </c>
      <c r="L720" s="152">
        <v>0</v>
      </c>
      <c r="O720" s="178">
        <f t="shared" si="302"/>
        <v>0</v>
      </c>
      <c r="P720" s="179" t="str">
        <f t="shared" si="315"/>
        <v/>
      </c>
      <c r="Q720" s="178">
        <f t="shared" si="303"/>
        <v>0</v>
      </c>
      <c r="R720" s="179" t="str">
        <f t="shared" si="316"/>
        <v/>
      </c>
      <c r="S720" s="178">
        <f t="shared" si="304"/>
        <v>0</v>
      </c>
      <c r="T720" s="179" t="str">
        <f t="shared" si="319"/>
        <v/>
      </c>
      <c r="U720" s="178">
        <f t="shared" si="305"/>
        <v>0</v>
      </c>
      <c r="V720" s="179" t="str">
        <f t="shared" si="306"/>
        <v/>
      </c>
      <c r="W720" s="157">
        <f t="shared" si="320"/>
        <v>4</v>
      </c>
    </row>
    <row r="721" spans="1:23" ht="11.25" customHeight="1" x14ac:dyDescent="0.25">
      <c r="A721" s="51" t="s">
        <v>775</v>
      </c>
      <c r="B721" s="282">
        <f t="shared" si="317"/>
        <v>4</v>
      </c>
      <c r="C721" s="51"/>
      <c r="D721" s="49"/>
      <c r="E721" s="49"/>
      <c r="F721" s="395" t="s">
        <v>1945</v>
      </c>
      <c r="G721" s="396"/>
      <c r="H721" s="50">
        <f>H722</f>
        <v>450</v>
      </c>
      <c r="I721" s="50">
        <f>I722</f>
        <v>90</v>
      </c>
      <c r="J721" s="135">
        <f>J722</f>
        <v>0</v>
      </c>
      <c r="K721" s="346">
        <f t="shared" ref="K721:L721" si="321">K722</f>
        <v>90</v>
      </c>
      <c r="L721" s="152">
        <f t="shared" si="321"/>
        <v>0</v>
      </c>
      <c r="O721" s="178">
        <f t="shared" si="302"/>
        <v>0</v>
      </c>
      <c r="P721" s="179" t="str">
        <f t="shared" si="315"/>
        <v/>
      </c>
      <c r="Q721" s="178">
        <f t="shared" si="303"/>
        <v>-90</v>
      </c>
      <c r="R721" s="179">
        <f t="shared" si="316"/>
        <v>0</v>
      </c>
      <c r="S721" s="178">
        <f t="shared" si="304"/>
        <v>-90</v>
      </c>
      <c r="T721" s="179">
        <f t="shared" si="319"/>
        <v>0</v>
      </c>
      <c r="U721" s="178">
        <f t="shared" si="305"/>
        <v>0</v>
      </c>
      <c r="V721" s="179">
        <f t="shared" si="306"/>
        <v>1</v>
      </c>
      <c r="W721" s="157">
        <f t="shared" si="320"/>
        <v>4</v>
      </c>
    </row>
    <row r="722" spans="1:23" ht="11.25" customHeight="1" x14ac:dyDescent="0.25">
      <c r="A722" s="55" t="s">
        <v>1545</v>
      </c>
      <c r="B722" s="282">
        <f t="shared" si="317"/>
        <v>7</v>
      </c>
      <c r="C722" s="55"/>
      <c r="D722" s="53"/>
      <c r="E722" s="53"/>
      <c r="F722" s="381" t="s">
        <v>776</v>
      </c>
      <c r="G722" s="382"/>
      <c r="H722" s="54">
        <f t="shared" ref="H722:L722" si="322">SUM(H723)</f>
        <v>450</v>
      </c>
      <c r="I722" s="54">
        <f t="shared" si="322"/>
        <v>90</v>
      </c>
      <c r="J722" s="136">
        <f t="shared" si="322"/>
        <v>0</v>
      </c>
      <c r="K722" s="136">
        <f t="shared" si="322"/>
        <v>90</v>
      </c>
      <c r="L722" s="153">
        <f t="shared" si="322"/>
        <v>0</v>
      </c>
      <c r="O722" s="88">
        <f t="shared" si="302"/>
        <v>0</v>
      </c>
      <c r="P722" s="123" t="str">
        <f t="shared" si="315"/>
        <v/>
      </c>
      <c r="Q722" s="88">
        <f t="shared" si="303"/>
        <v>-90</v>
      </c>
      <c r="R722" s="123">
        <f t="shared" si="316"/>
        <v>0</v>
      </c>
      <c r="S722" s="88">
        <f t="shared" si="304"/>
        <v>-90</v>
      </c>
      <c r="T722" s="123">
        <f t="shared" si="319"/>
        <v>0</v>
      </c>
      <c r="U722" s="88">
        <f t="shared" si="305"/>
        <v>0</v>
      </c>
      <c r="V722" s="123">
        <f t="shared" si="306"/>
        <v>1</v>
      </c>
      <c r="W722" s="157">
        <f t="shared" si="320"/>
        <v>7</v>
      </c>
    </row>
    <row r="723" spans="1:23" ht="11.25" customHeight="1" x14ac:dyDescent="0.25">
      <c r="A723" s="42" t="s">
        <v>1546</v>
      </c>
      <c r="B723" s="282">
        <f t="shared" si="317"/>
        <v>11</v>
      </c>
      <c r="C723" s="14"/>
      <c r="D723" s="13"/>
      <c r="E723" s="13"/>
      <c r="F723" s="373" t="s">
        <v>777</v>
      </c>
      <c r="G723" s="374"/>
      <c r="H723" s="11">
        <v>450</v>
      </c>
      <c r="I723" s="11">
        <v>90</v>
      </c>
      <c r="J723" s="336">
        <v>0</v>
      </c>
      <c r="K723" s="130">
        <v>90</v>
      </c>
      <c r="L723" s="141"/>
      <c r="O723" s="88">
        <f t="shared" si="302"/>
        <v>0</v>
      </c>
      <c r="P723" s="123" t="str">
        <f t="shared" si="315"/>
        <v/>
      </c>
      <c r="Q723" s="88">
        <f t="shared" si="303"/>
        <v>-90</v>
      </c>
      <c r="R723" s="123">
        <f t="shared" si="316"/>
        <v>0</v>
      </c>
      <c r="S723" s="88">
        <f t="shared" si="304"/>
        <v>-90</v>
      </c>
      <c r="T723" s="123">
        <f t="shared" si="319"/>
        <v>0</v>
      </c>
      <c r="U723" s="88">
        <f t="shared" si="305"/>
        <v>0</v>
      </c>
      <c r="V723" s="123">
        <f t="shared" si="306"/>
        <v>1</v>
      </c>
      <c r="W723" s="157">
        <f t="shared" si="320"/>
        <v>11</v>
      </c>
    </row>
    <row r="724" spans="1:23" ht="11.25" customHeight="1" x14ac:dyDescent="0.25">
      <c r="A724" s="51" t="s">
        <v>778</v>
      </c>
      <c r="B724" s="282">
        <f t="shared" si="317"/>
        <v>4</v>
      </c>
      <c r="C724" s="51"/>
      <c r="D724" s="49"/>
      <c r="E724" s="49"/>
      <c r="F724" s="395" t="s">
        <v>1944</v>
      </c>
      <c r="G724" s="396"/>
      <c r="H724" s="50">
        <f t="shared" ref="H724:L724" si="323">H725</f>
        <v>55014527.550000004</v>
      </c>
      <c r="I724" s="50">
        <f t="shared" si="323"/>
        <v>57819164.979999997</v>
      </c>
      <c r="J724" s="135">
        <f t="shared" si="323"/>
        <v>58919999.999999993</v>
      </c>
      <c r="K724" s="346">
        <f t="shared" si="323"/>
        <v>64145716.260000005</v>
      </c>
      <c r="L724" s="152">
        <f t="shared" si="323"/>
        <v>59269000</v>
      </c>
      <c r="O724" s="178">
        <f t="shared" si="302"/>
        <v>349000.00000000745</v>
      </c>
      <c r="P724" s="179">
        <f t="shared" si="315"/>
        <v>1.0059232858112697</v>
      </c>
      <c r="Q724" s="178">
        <f t="shared" si="303"/>
        <v>1449835.0200000033</v>
      </c>
      <c r="R724" s="179">
        <f t="shared" si="316"/>
        <v>1.0250753365342014</v>
      </c>
      <c r="S724" s="178">
        <f t="shared" si="304"/>
        <v>-4876716.2600000054</v>
      </c>
      <c r="T724" s="179">
        <f t="shared" si="319"/>
        <v>0.92397440477188919</v>
      </c>
      <c r="U724" s="178">
        <f t="shared" si="305"/>
        <v>6326551.2800000086</v>
      </c>
      <c r="V724" s="179">
        <f t="shared" si="306"/>
        <v>1.1094196237906306</v>
      </c>
      <c r="W724" s="157">
        <f t="shared" si="320"/>
        <v>4</v>
      </c>
    </row>
    <row r="725" spans="1:23" ht="11.25" customHeight="1" x14ac:dyDescent="0.25">
      <c r="A725" s="55" t="s">
        <v>1547</v>
      </c>
      <c r="B725" s="282">
        <f t="shared" si="317"/>
        <v>7</v>
      </c>
      <c r="C725" s="55"/>
      <c r="D725" s="53"/>
      <c r="E725" s="53"/>
      <c r="F725" s="381" t="s">
        <v>779</v>
      </c>
      <c r="G725" s="382"/>
      <c r="H725" s="54">
        <f t="shared" ref="H725:L725" si="324">SUM(H726:H730)</f>
        <v>55014527.550000004</v>
      </c>
      <c r="I725" s="54">
        <f t="shared" si="324"/>
        <v>57819164.979999997</v>
      </c>
      <c r="J725" s="136">
        <f t="shared" si="324"/>
        <v>58919999.999999993</v>
      </c>
      <c r="K725" s="136">
        <f t="shared" si="324"/>
        <v>64145716.260000005</v>
      </c>
      <c r="L725" s="153">
        <f t="shared" si="324"/>
        <v>59269000</v>
      </c>
      <c r="O725" s="88">
        <f t="shared" si="302"/>
        <v>349000.00000000745</v>
      </c>
      <c r="P725" s="123">
        <f t="shared" si="315"/>
        <v>1.0059232858112697</v>
      </c>
      <c r="Q725" s="88">
        <f t="shared" si="303"/>
        <v>1449835.0200000033</v>
      </c>
      <c r="R725" s="123">
        <f t="shared" si="316"/>
        <v>1.0250753365342014</v>
      </c>
      <c r="S725" s="88">
        <f t="shared" si="304"/>
        <v>-4876716.2600000054</v>
      </c>
      <c r="T725" s="123">
        <f t="shared" si="319"/>
        <v>0.92397440477188919</v>
      </c>
      <c r="U725" s="88">
        <f t="shared" si="305"/>
        <v>6326551.2800000086</v>
      </c>
      <c r="V725" s="123">
        <f t="shared" si="306"/>
        <v>1.1094196237906306</v>
      </c>
      <c r="W725" s="157">
        <f t="shared" si="320"/>
        <v>7</v>
      </c>
    </row>
    <row r="726" spans="1:23" ht="11.25" customHeight="1" x14ac:dyDescent="0.25">
      <c r="A726" s="42" t="s">
        <v>1548</v>
      </c>
      <c r="B726" s="282">
        <f t="shared" si="317"/>
        <v>11</v>
      </c>
      <c r="C726" s="20" t="s">
        <v>922</v>
      </c>
      <c r="D726" s="20" t="s">
        <v>919</v>
      </c>
      <c r="E726" s="20" t="s">
        <v>924</v>
      </c>
      <c r="F726" s="373" t="s">
        <v>780</v>
      </c>
      <c r="G726" s="374"/>
      <c r="H726" s="11">
        <v>12349544.5</v>
      </c>
      <c r="I726" s="11">
        <v>12770397.5</v>
      </c>
      <c r="J726" s="336">
        <v>14800000</v>
      </c>
      <c r="K726" s="130">
        <v>14437886.890000001</v>
      </c>
      <c r="L726" s="142">
        <v>14997000</v>
      </c>
      <c r="O726" s="88">
        <f t="shared" si="302"/>
        <v>197000</v>
      </c>
      <c r="P726" s="123">
        <f t="shared" si="315"/>
        <v>1.0133108108108109</v>
      </c>
      <c r="Q726" s="88">
        <f t="shared" si="303"/>
        <v>2226602.5</v>
      </c>
      <c r="R726" s="123">
        <f t="shared" si="316"/>
        <v>1.1743565538974021</v>
      </c>
      <c r="S726" s="88">
        <f t="shared" si="304"/>
        <v>559113.1099999994</v>
      </c>
      <c r="T726" s="123">
        <f t="shared" si="319"/>
        <v>1.0387254114303426</v>
      </c>
      <c r="U726" s="88">
        <f t="shared" si="305"/>
        <v>1667489.3900000006</v>
      </c>
      <c r="V726" s="123">
        <f t="shared" si="306"/>
        <v>1.1305745878309583</v>
      </c>
      <c r="W726" s="157">
        <f t="shared" si="320"/>
        <v>11</v>
      </c>
    </row>
    <row r="727" spans="1:23" ht="11.25" customHeight="1" x14ac:dyDescent="0.25">
      <c r="A727" s="42" t="s">
        <v>1549</v>
      </c>
      <c r="B727" s="282">
        <f t="shared" si="317"/>
        <v>11</v>
      </c>
      <c r="C727" s="20" t="s">
        <v>922</v>
      </c>
      <c r="D727" s="20" t="s">
        <v>919</v>
      </c>
      <c r="E727" s="20" t="s">
        <v>924</v>
      </c>
      <c r="F727" s="373" t="s">
        <v>781</v>
      </c>
      <c r="G727" s="374"/>
      <c r="H727" s="11">
        <v>42448350.149999999</v>
      </c>
      <c r="I727" s="11">
        <v>44883799.149999999</v>
      </c>
      <c r="J727" s="336">
        <v>44000000</v>
      </c>
      <c r="K727" s="130">
        <v>49286480.600000001</v>
      </c>
      <c r="L727" s="142">
        <v>43878000</v>
      </c>
      <c r="O727" s="88">
        <f t="shared" si="302"/>
        <v>-122000</v>
      </c>
      <c r="P727" s="123">
        <f t="shared" si="315"/>
        <v>0.99722727272727274</v>
      </c>
      <c r="Q727" s="88">
        <f t="shared" si="303"/>
        <v>-1005799.1499999985</v>
      </c>
      <c r="R727" s="123">
        <f t="shared" si="316"/>
        <v>0.97759104244632555</v>
      </c>
      <c r="S727" s="88">
        <f t="shared" si="304"/>
        <v>-5408480.6000000015</v>
      </c>
      <c r="T727" s="123">
        <f t="shared" si="319"/>
        <v>0.89026441867711692</v>
      </c>
      <c r="U727" s="88">
        <f t="shared" si="305"/>
        <v>4402681.450000003</v>
      </c>
      <c r="V727" s="123">
        <f t="shared" si="306"/>
        <v>1.0980906592885866</v>
      </c>
      <c r="W727" s="157">
        <f t="shared" si="320"/>
        <v>11</v>
      </c>
    </row>
    <row r="728" spans="1:23" ht="11.25" customHeight="1" x14ac:dyDescent="0.25">
      <c r="A728" s="42" t="s">
        <v>1550</v>
      </c>
      <c r="B728" s="282">
        <f t="shared" si="317"/>
        <v>11</v>
      </c>
      <c r="C728" s="20" t="s">
        <v>922</v>
      </c>
      <c r="D728" s="20" t="s">
        <v>919</v>
      </c>
      <c r="E728" s="20" t="s">
        <v>924</v>
      </c>
      <c r="F728" s="373" t="s">
        <v>782</v>
      </c>
      <c r="G728" s="374"/>
      <c r="H728" s="11">
        <v>172533.6</v>
      </c>
      <c r="I728" s="11">
        <v>77306.41</v>
      </c>
      <c r="J728" s="336">
        <v>100000</v>
      </c>
      <c r="K728" s="130">
        <v>302342.77</v>
      </c>
      <c r="L728" s="142">
        <v>374000</v>
      </c>
      <c r="O728" s="88">
        <f t="shared" si="302"/>
        <v>274000</v>
      </c>
      <c r="P728" s="123">
        <f t="shared" si="315"/>
        <v>3.74</v>
      </c>
      <c r="Q728" s="88">
        <f t="shared" si="303"/>
        <v>296693.58999999997</v>
      </c>
      <c r="R728" s="123">
        <f t="shared" si="316"/>
        <v>4.837891191687727</v>
      </c>
      <c r="S728" s="88">
        <f t="shared" si="304"/>
        <v>71657.229999999981</v>
      </c>
      <c r="T728" s="123">
        <f t="shared" si="319"/>
        <v>1.2370065935428189</v>
      </c>
      <c r="U728" s="88">
        <f t="shared" si="305"/>
        <v>225036.36000000002</v>
      </c>
      <c r="V728" s="123">
        <f t="shared" si="306"/>
        <v>3.9109663739397549</v>
      </c>
      <c r="W728" s="157">
        <f t="shared" si="320"/>
        <v>11</v>
      </c>
    </row>
    <row r="729" spans="1:23" ht="11.25" customHeight="1" x14ac:dyDescent="0.25">
      <c r="A729" s="42" t="s">
        <v>1551</v>
      </c>
      <c r="B729" s="282">
        <f t="shared" si="317"/>
        <v>11</v>
      </c>
      <c r="C729" s="20" t="s">
        <v>916</v>
      </c>
      <c r="D729" s="20" t="s">
        <v>919</v>
      </c>
      <c r="E729" s="20" t="s">
        <v>1649</v>
      </c>
      <c r="F729" s="373" t="s">
        <v>783</v>
      </c>
      <c r="G729" s="374"/>
      <c r="H729" s="11">
        <v>38727.699999999997</v>
      </c>
      <c r="I729" s="11">
        <v>82455.600000000006</v>
      </c>
      <c r="J729" s="336">
        <v>19999.999999994001</v>
      </c>
      <c r="K729" s="130">
        <v>119006</v>
      </c>
      <c r="L729" s="142">
        <v>20000</v>
      </c>
      <c r="O729" s="88">
        <f t="shared" si="302"/>
        <v>5.9990270528942347E-9</v>
      </c>
      <c r="P729" s="123">
        <f t="shared" si="315"/>
        <v>1.0000000000003</v>
      </c>
      <c r="Q729" s="88">
        <f t="shared" si="303"/>
        <v>-62455.600000000006</v>
      </c>
      <c r="R729" s="123">
        <f t="shared" si="316"/>
        <v>0.24255478099728822</v>
      </c>
      <c r="S729" s="88">
        <f t="shared" si="304"/>
        <v>-99006</v>
      </c>
      <c r="T729" s="123">
        <f t="shared" si="319"/>
        <v>0.16805875334016773</v>
      </c>
      <c r="U729" s="88">
        <f t="shared" si="305"/>
        <v>36550.399999999994</v>
      </c>
      <c r="V729" s="123">
        <f t="shared" si="306"/>
        <v>1.4432737133681641</v>
      </c>
      <c r="W729" s="157">
        <f t="shared" si="320"/>
        <v>11</v>
      </c>
    </row>
    <row r="730" spans="1:23" ht="11.25" customHeight="1" x14ac:dyDescent="0.25">
      <c r="A730" s="42" t="s">
        <v>1552</v>
      </c>
      <c r="B730" s="282">
        <f t="shared" si="317"/>
        <v>11</v>
      </c>
      <c r="C730" s="14"/>
      <c r="D730" s="13"/>
      <c r="E730" s="13"/>
      <c r="F730" s="373" t="s">
        <v>784</v>
      </c>
      <c r="G730" s="374"/>
      <c r="H730" s="11">
        <v>5371.6</v>
      </c>
      <c r="I730" s="11">
        <v>5206.32</v>
      </c>
      <c r="J730" s="336">
        <v>0</v>
      </c>
      <c r="K730" s="130">
        <v>0</v>
      </c>
      <c r="L730" s="141"/>
      <c r="O730" s="88">
        <f t="shared" si="302"/>
        <v>0</v>
      </c>
      <c r="P730" s="123" t="str">
        <f t="shared" si="315"/>
        <v/>
      </c>
      <c r="Q730" s="88">
        <f t="shared" si="303"/>
        <v>-5206.32</v>
      </c>
      <c r="R730" s="123">
        <f t="shared" si="316"/>
        <v>0</v>
      </c>
      <c r="S730" s="88">
        <f t="shared" si="304"/>
        <v>0</v>
      </c>
      <c r="T730" s="123" t="str">
        <f t="shared" si="319"/>
        <v/>
      </c>
      <c r="U730" s="88">
        <f t="shared" si="305"/>
        <v>-5206.32</v>
      </c>
      <c r="V730" s="123">
        <f t="shared" si="306"/>
        <v>0</v>
      </c>
      <c r="W730" s="157">
        <f t="shared" si="320"/>
        <v>11</v>
      </c>
    </row>
    <row r="731" spans="1:23" ht="11.25" customHeight="1" x14ac:dyDescent="0.25">
      <c r="A731" s="51" t="s">
        <v>785</v>
      </c>
      <c r="B731" s="282">
        <f t="shared" si="317"/>
        <v>4</v>
      </c>
      <c r="C731" s="51"/>
      <c r="D731" s="49"/>
      <c r="E731" s="49"/>
      <c r="F731" s="395" t="s">
        <v>786</v>
      </c>
      <c r="G731" s="396"/>
      <c r="H731" s="50">
        <f>H732</f>
        <v>24793.39</v>
      </c>
      <c r="I731" s="50">
        <f>I732</f>
        <v>37190</v>
      </c>
      <c r="J731" s="135">
        <f>J732</f>
        <v>0</v>
      </c>
      <c r="K731" s="135">
        <f t="shared" ref="K731:L731" si="325">K732</f>
        <v>0</v>
      </c>
      <c r="L731" s="152">
        <f t="shared" si="325"/>
        <v>0</v>
      </c>
      <c r="O731" s="178">
        <f t="shared" si="302"/>
        <v>0</v>
      </c>
      <c r="P731" s="179" t="str">
        <f t="shared" si="315"/>
        <v/>
      </c>
      <c r="Q731" s="178">
        <f t="shared" si="303"/>
        <v>-37190</v>
      </c>
      <c r="R731" s="179">
        <f t="shared" si="316"/>
        <v>0</v>
      </c>
      <c r="S731" s="178">
        <f t="shared" si="304"/>
        <v>0</v>
      </c>
      <c r="T731" s="179" t="str">
        <f t="shared" si="319"/>
        <v/>
      </c>
      <c r="U731" s="178">
        <f t="shared" si="305"/>
        <v>-37190</v>
      </c>
      <c r="V731" s="179">
        <f t="shared" si="306"/>
        <v>0</v>
      </c>
      <c r="W731" s="157">
        <f t="shared" si="320"/>
        <v>4</v>
      </c>
    </row>
    <row r="732" spans="1:23" ht="11.25" customHeight="1" x14ac:dyDescent="0.25">
      <c r="A732" s="55" t="s">
        <v>1553</v>
      </c>
      <c r="B732" s="282">
        <f t="shared" si="317"/>
        <v>7</v>
      </c>
      <c r="C732" s="55"/>
      <c r="D732" s="53"/>
      <c r="E732" s="53"/>
      <c r="F732" s="381" t="s">
        <v>787</v>
      </c>
      <c r="G732" s="382"/>
      <c r="H732" s="54">
        <f t="shared" ref="H732:L732" si="326">SUM(H733)</f>
        <v>24793.39</v>
      </c>
      <c r="I732" s="54">
        <f t="shared" si="326"/>
        <v>37190</v>
      </c>
      <c r="J732" s="136">
        <f t="shared" si="326"/>
        <v>0</v>
      </c>
      <c r="K732" s="136">
        <f t="shared" si="326"/>
        <v>0</v>
      </c>
      <c r="L732" s="153">
        <f t="shared" si="326"/>
        <v>0</v>
      </c>
      <c r="O732" s="88">
        <f t="shared" si="302"/>
        <v>0</v>
      </c>
      <c r="P732" s="123" t="str">
        <f t="shared" si="315"/>
        <v/>
      </c>
      <c r="Q732" s="88">
        <f t="shared" si="303"/>
        <v>-37190</v>
      </c>
      <c r="R732" s="123">
        <f t="shared" si="316"/>
        <v>0</v>
      </c>
      <c r="S732" s="88">
        <f t="shared" si="304"/>
        <v>0</v>
      </c>
      <c r="T732" s="123" t="str">
        <f t="shared" si="319"/>
        <v/>
      </c>
      <c r="U732" s="88">
        <f t="shared" si="305"/>
        <v>-37190</v>
      </c>
      <c r="V732" s="123">
        <f t="shared" si="306"/>
        <v>0</v>
      </c>
      <c r="W732" s="157">
        <f t="shared" si="320"/>
        <v>7</v>
      </c>
    </row>
    <row r="733" spans="1:23" ht="11.25" customHeight="1" x14ac:dyDescent="0.25">
      <c r="A733" s="42" t="s">
        <v>1554</v>
      </c>
      <c r="B733" s="282">
        <f t="shared" si="317"/>
        <v>11</v>
      </c>
      <c r="C733" s="14"/>
      <c r="D733" s="13"/>
      <c r="E733" s="13"/>
      <c r="F733" s="373" t="s">
        <v>788</v>
      </c>
      <c r="G733" s="374"/>
      <c r="H733" s="11">
        <v>24793.39</v>
      </c>
      <c r="I733" s="11">
        <v>37190</v>
      </c>
      <c r="J733" s="336">
        <v>0</v>
      </c>
      <c r="K733" s="130">
        <v>0</v>
      </c>
      <c r="L733" s="141"/>
      <c r="O733" s="88">
        <f t="shared" si="302"/>
        <v>0</v>
      </c>
      <c r="P733" s="123" t="str">
        <f t="shared" si="315"/>
        <v/>
      </c>
      <c r="Q733" s="88">
        <f t="shared" si="303"/>
        <v>-37190</v>
      </c>
      <c r="R733" s="123">
        <f t="shared" si="316"/>
        <v>0</v>
      </c>
      <c r="S733" s="88">
        <f t="shared" si="304"/>
        <v>0</v>
      </c>
      <c r="T733" s="123" t="str">
        <f t="shared" si="319"/>
        <v/>
      </c>
      <c r="U733" s="88">
        <f t="shared" si="305"/>
        <v>-37190</v>
      </c>
      <c r="V733" s="123">
        <f t="shared" si="306"/>
        <v>0</v>
      </c>
      <c r="W733" s="157">
        <f t="shared" si="320"/>
        <v>11</v>
      </c>
    </row>
    <row r="734" spans="1:23" ht="11.25" customHeight="1" x14ac:dyDescent="0.25">
      <c r="A734" s="51" t="s">
        <v>789</v>
      </c>
      <c r="B734" s="282">
        <f t="shared" si="317"/>
        <v>4</v>
      </c>
      <c r="C734" s="51"/>
      <c r="D734" s="49"/>
      <c r="E734" s="49"/>
      <c r="F734" s="395" t="s">
        <v>1946</v>
      </c>
      <c r="G734" s="396"/>
      <c r="H734" s="50">
        <f t="shared" ref="H734:L734" si="327">H735+H737+H739</f>
        <v>12609879.220000001</v>
      </c>
      <c r="I734" s="50">
        <f t="shared" si="327"/>
        <v>11192220.67</v>
      </c>
      <c r="J734" s="135">
        <f t="shared" si="327"/>
        <v>11064000</v>
      </c>
      <c r="K734" s="347">
        <f t="shared" si="327"/>
        <v>11361103.029999999</v>
      </c>
      <c r="L734" s="152">
        <f t="shared" si="327"/>
        <v>13281122</v>
      </c>
      <c r="O734" s="178">
        <f t="shared" si="302"/>
        <v>2217122</v>
      </c>
      <c r="P734" s="179">
        <f t="shared" si="315"/>
        <v>1.2003906362979031</v>
      </c>
      <c r="Q734" s="178">
        <f t="shared" si="303"/>
        <v>2088901.33</v>
      </c>
      <c r="R734" s="179">
        <f t="shared" si="316"/>
        <v>1.1866386833847156</v>
      </c>
      <c r="S734" s="178">
        <f t="shared" si="304"/>
        <v>1920018.9700000007</v>
      </c>
      <c r="T734" s="179">
        <f t="shared" si="319"/>
        <v>1.1689993449518079</v>
      </c>
      <c r="U734" s="178">
        <f t="shared" si="305"/>
        <v>168882.3599999994</v>
      </c>
      <c r="V734" s="179">
        <f t="shared" si="306"/>
        <v>1.0150892628888812</v>
      </c>
      <c r="W734" s="157">
        <f t="shared" si="320"/>
        <v>4</v>
      </c>
    </row>
    <row r="735" spans="1:23" ht="11.25" customHeight="1" x14ac:dyDescent="0.25">
      <c r="A735" s="55" t="s">
        <v>1555</v>
      </c>
      <c r="B735" s="282">
        <f t="shared" si="317"/>
        <v>7</v>
      </c>
      <c r="C735" s="55"/>
      <c r="D735" s="53"/>
      <c r="E735" s="53"/>
      <c r="F735" s="381" t="s">
        <v>791</v>
      </c>
      <c r="G735" s="382"/>
      <c r="H735" s="54">
        <f>SUM(H736)</f>
        <v>3697558</v>
      </c>
      <c r="I735" s="54">
        <f>SUM(I736)</f>
        <v>0</v>
      </c>
      <c r="J735" s="136">
        <f>SUM(J736)</f>
        <v>0</v>
      </c>
      <c r="K735" s="161">
        <v>0</v>
      </c>
      <c r="L735" s="174"/>
      <c r="O735" s="88">
        <f t="shared" si="302"/>
        <v>0</v>
      </c>
      <c r="P735" s="123" t="str">
        <f t="shared" si="315"/>
        <v/>
      </c>
      <c r="Q735" s="88">
        <f t="shared" si="303"/>
        <v>0</v>
      </c>
      <c r="R735" s="123" t="str">
        <f t="shared" si="316"/>
        <v/>
      </c>
      <c r="S735" s="88">
        <f t="shared" si="304"/>
        <v>0</v>
      </c>
      <c r="T735" s="123" t="str">
        <f t="shared" si="319"/>
        <v/>
      </c>
      <c r="U735" s="88">
        <f t="shared" si="305"/>
        <v>0</v>
      </c>
      <c r="V735" s="123" t="str">
        <f t="shared" si="306"/>
        <v/>
      </c>
      <c r="W735" s="157">
        <f t="shared" si="320"/>
        <v>7</v>
      </c>
    </row>
    <row r="736" spans="1:23" ht="11.25" customHeight="1" x14ac:dyDescent="0.25">
      <c r="A736" s="42" t="s">
        <v>1556</v>
      </c>
      <c r="B736" s="282">
        <f t="shared" si="317"/>
        <v>11</v>
      </c>
      <c r="C736" s="27"/>
      <c r="D736" s="28"/>
      <c r="E736" s="28"/>
      <c r="F736" s="373" t="s">
        <v>792</v>
      </c>
      <c r="G736" s="374"/>
      <c r="H736" s="11">
        <v>3697558</v>
      </c>
      <c r="I736" s="11">
        <v>0</v>
      </c>
      <c r="J736" s="336">
        <v>0</v>
      </c>
      <c r="K736" s="130">
        <v>0</v>
      </c>
      <c r="L736" s="141"/>
      <c r="O736" s="88">
        <f t="shared" si="302"/>
        <v>0</v>
      </c>
      <c r="P736" s="123" t="str">
        <f t="shared" si="315"/>
        <v/>
      </c>
      <c r="Q736" s="88">
        <f t="shared" si="303"/>
        <v>0</v>
      </c>
      <c r="R736" s="123" t="str">
        <f t="shared" si="316"/>
        <v/>
      </c>
      <c r="S736" s="88">
        <f t="shared" si="304"/>
        <v>0</v>
      </c>
      <c r="T736" s="123" t="str">
        <f t="shared" si="319"/>
        <v/>
      </c>
      <c r="U736" s="88">
        <f t="shared" si="305"/>
        <v>0</v>
      </c>
      <c r="V736" s="123" t="str">
        <f t="shared" si="306"/>
        <v/>
      </c>
      <c r="W736" s="157">
        <f t="shared" si="320"/>
        <v>11</v>
      </c>
    </row>
    <row r="737" spans="1:23" ht="11.25" customHeight="1" x14ac:dyDescent="0.25">
      <c r="A737" s="55" t="s">
        <v>1557</v>
      </c>
      <c r="B737" s="282">
        <f t="shared" si="317"/>
        <v>7</v>
      </c>
      <c r="C737" s="55"/>
      <c r="D737" s="53"/>
      <c r="E737" s="53"/>
      <c r="F737" s="381" t="s">
        <v>793</v>
      </c>
      <c r="G737" s="382"/>
      <c r="H737" s="54">
        <f t="shared" ref="H737:L737" si="328">SUM(H738)</f>
        <v>3336710.32</v>
      </c>
      <c r="I737" s="54">
        <f t="shared" si="328"/>
        <v>2280883.4</v>
      </c>
      <c r="J737" s="136">
        <f t="shared" si="328"/>
        <v>2000000</v>
      </c>
      <c r="K737" s="182">
        <f t="shared" si="328"/>
        <v>2217600.5299999998</v>
      </c>
      <c r="L737" s="153">
        <f t="shared" si="328"/>
        <v>2500000</v>
      </c>
      <c r="O737" s="88">
        <f t="shared" si="302"/>
        <v>500000</v>
      </c>
      <c r="P737" s="123">
        <f t="shared" si="315"/>
        <v>1.25</v>
      </c>
      <c r="Q737" s="88">
        <f t="shared" si="303"/>
        <v>219116.60000000009</v>
      </c>
      <c r="R737" s="123">
        <f t="shared" si="316"/>
        <v>1.0960665503550073</v>
      </c>
      <c r="S737" s="88">
        <f t="shared" si="304"/>
        <v>282399.4700000002</v>
      </c>
      <c r="T737" s="123">
        <f t="shared" si="319"/>
        <v>1.1273446079127696</v>
      </c>
      <c r="U737" s="88">
        <f t="shared" si="305"/>
        <v>-63282.870000000112</v>
      </c>
      <c r="V737" s="123">
        <f t="shared" si="306"/>
        <v>0.97225510519301417</v>
      </c>
      <c r="W737" s="157">
        <f t="shared" si="320"/>
        <v>7</v>
      </c>
    </row>
    <row r="738" spans="1:23" ht="11.25" customHeight="1" x14ac:dyDescent="0.25">
      <c r="A738" s="42" t="s">
        <v>1558</v>
      </c>
      <c r="B738" s="282">
        <f t="shared" si="317"/>
        <v>11</v>
      </c>
      <c r="C738" s="27" t="s">
        <v>916</v>
      </c>
      <c r="D738" s="28" t="s">
        <v>920</v>
      </c>
      <c r="E738" s="28" t="s">
        <v>917</v>
      </c>
      <c r="F738" s="373" t="s">
        <v>794</v>
      </c>
      <c r="G738" s="374"/>
      <c r="H738" s="11">
        <v>3336710.32</v>
      </c>
      <c r="I738" s="11">
        <v>2280883.4</v>
      </c>
      <c r="J738" s="336">
        <v>2000000</v>
      </c>
      <c r="K738" s="130">
        <v>2217600.5299999998</v>
      </c>
      <c r="L738" s="142">
        <v>2500000</v>
      </c>
      <c r="O738" s="88">
        <f t="shared" si="302"/>
        <v>500000</v>
      </c>
      <c r="P738" s="123">
        <f t="shared" si="315"/>
        <v>1.25</v>
      </c>
      <c r="Q738" s="88">
        <f t="shared" si="303"/>
        <v>219116.60000000009</v>
      </c>
      <c r="R738" s="123">
        <f t="shared" si="316"/>
        <v>1.0960665503550073</v>
      </c>
      <c r="S738" s="88">
        <f t="shared" si="304"/>
        <v>282399.4700000002</v>
      </c>
      <c r="T738" s="123">
        <f t="shared" si="319"/>
        <v>1.1273446079127696</v>
      </c>
      <c r="U738" s="88">
        <f t="shared" si="305"/>
        <v>-63282.870000000112</v>
      </c>
      <c r="V738" s="123">
        <f t="shared" si="306"/>
        <v>0.97225510519301417</v>
      </c>
      <c r="W738" s="157">
        <f t="shared" si="320"/>
        <v>11</v>
      </c>
    </row>
    <row r="739" spans="1:23" ht="11.25" customHeight="1" x14ac:dyDescent="0.25">
      <c r="A739" s="55" t="s">
        <v>1559</v>
      </c>
      <c r="B739" s="282">
        <f t="shared" si="317"/>
        <v>7</v>
      </c>
      <c r="C739" s="55"/>
      <c r="D739" s="53"/>
      <c r="E739" s="53"/>
      <c r="F739" s="381" t="s">
        <v>795</v>
      </c>
      <c r="G739" s="382"/>
      <c r="H739" s="54">
        <f t="shared" ref="H739:L739" si="329">SUM(H740:H742)</f>
        <v>5575610.9000000004</v>
      </c>
      <c r="I739" s="54">
        <f t="shared" si="329"/>
        <v>8911337.2699999996</v>
      </c>
      <c r="J739" s="136">
        <f t="shared" si="329"/>
        <v>9064000</v>
      </c>
      <c r="K739" s="136">
        <f t="shared" si="329"/>
        <v>9143502.5</v>
      </c>
      <c r="L739" s="153">
        <f t="shared" si="329"/>
        <v>10781122</v>
      </c>
      <c r="O739" s="88">
        <f t="shared" si="302"/>
        <v>1717122</v>
      </c>
      <c r="P739" s="123">
        <f t="shared" si="315"/>
        <v>1.1894441747572815</v>
      </c>
      <c r="Q739" s="88">
        <f t="shared" si="303"/>
        <v>1869784.7300000004</v>
      </c>
      <c r="R739" s="123">
        <f t="shared" si="316"/>
        <v>1.2098208914496624</v>
      </c>
      <c r="S739" s="88">
        <f t="shared" si="304"/>
        <v>1637619.5</v>
      </c>
      <c r="T739" s="123">
        <f t="shared" si="319"/>
        <v>1.1791019907305762</v>
      </c>
      <c r="U739" s="88">
        <f t="shared" si="305"/>
        <v>232165.23000000045</v>
      </c>
      <c r="V739" s="123">
        <f t="shared" si="306"/>
        <v>1.0260527935331978</v>
      </c>
      <c r="W739" s="157">
        <f t="shared" si="320"/>
        <v>7</v>
      </c>
    </row>
    <row r="740" spans="1:23" ht="11.25" customHeight="1" x14ac:dyDescent="0.25">
      <c r="A740" s="42" t="s">
        <v>1560</v>
      </c>
      <c r="B740" s="282">
        <f t="shared" si="317"/>
        <v>11</v>
      </c>
      <c r="C740" s="27" t="s">
        <v>916</v>
      </c>
      <c r="D740" s="28" t="s">
        <v>919</v>
      </c>
      <c r="E740" s="28" t="s">
        <v>917</v>
      </c>
      <c r="F740" s="373" t="s">
        <v>796</v>
      </c>
      <c r="G740" s="374"/>
      <c r="H740" s="11">
        <v>2425000</v>
      </c>
      <c r="I740" s="11">
        <v>3813500</v>
      </c>
      <c r="J740" s="336">
        <v>4064000</v>
      </c>
      <c r="K740" s="344">
        <v>3735500</v>
      </c>
      <c r="L740" s="142">
        <v>4505330</v>
      </c>
      <c r="M740" s="197"/>
      <c r="O740" s="88">
        <f t="shared" si="302"/>
        <v>441330</v>
      </c>
      <c r="P740" s="123">
        <f t="shared" si="315"/>
        <v>1.1085949803149606</v>
      </c>
      <c r="Q740" s="88">
        <f t="shared" si="303"/>
        <v>691830</v>
      </c>
      <c r="R740" s="123">
        <f t="shared" si="316"/>
        <v>1.1814160220270093</v>
      </c>
      <c r="S740" s="88">
        <f t="shared" si="304"/>
        <v>769830</v>
      </c>
      <c r="T740" s="123">
        <f t="shared" si="319"/>
        <v>1.2060848614643287</v>
      </c>
      <c r="U740" s="88">
        <f t="shared" si="305"/>
        <v>-78000</v>
      </c>
      <c r="V740" s="123">
        <f t="shared" si="306"/>
        <v>0.97954634849875444</v>
      </c>
      <c r="W740" s="157">
        <f t="shared" si="320"/>
        <v>11</v>
      </c>
    </row>
    <row r="741" spans="1:23" ht="11.25" customHeight="1" x14ac:dyDescent="0.25">
      <c r="A741" s="42" t="s">
        <v>1561</v>
      </c>
      <c r="B741" s="282">
        <f t="shared" si="317"/>
        <v>11</v>
      </c>
      <c r="C741" s="27" t="s">
        <v>916</v>
      </c>
      <c r="D741" s="28" t="s">
        <v>919</v>
      </c>
      <c r="E741" s="28" t="s">
        <v>917</v>
      </c>
      <c r="F741" s="373" t="s">
        <v>797</v>
      </c>
      <c r="G741" s="374"/>
      <c r="H741" s="11">
        <v>3150610.9</v>
      </c>
      <c r="I741" s="11">
        <v>5038216.2699999996</v>
      </c>
      <c r="J741" s="336">
        <v>5000000</v>
      </c>
      <c r="K741" s="130">
        <v>5259401.57</v>
      </c>
      <c r="L741" s="142">
        <f>6006529+196541+72722</f>
        <v>6275792</v>
      </c>
      <c r="M741" s="108" t="s">
        <v>1712</v>
      </c>
      <c r="N741" s="108"/>
      <c r="O741" s="88">
        <f t="shared" si="302"/>
        <v>1275792</v>
      </c>
      <c r="P741" s="123">
        <f t="shared" si="315"/>
        <v>1.2551584</v>
      </c>
      <c r="Q741" s="88">
        <f t="shared" si="303"/>
        <v>1237575.7300000004</v>
      </c>
      <c r="R741" s="123">
        <f t="shared" si="316"/>
        <v>1.2456376748590827</v>
      </c>
      <c r="S741" s="88">
        <f t="shared" si="304"/>
        <v>1016390.4299999997</v>
      </c>
      <c r="T741" s="123">
        <f t="shared" si="319"/>
        <v>1.193252106056621</v>
      </c>
      <c r="U741" s="88">
        <f t="shared" si="305"/>
        <v>221185.30000000075</v>
      </c>
      <c r="V741" s="123">
        <f t="shared" si="306"/>
        <v>1.0439015096110593</v>
      </c>
      <c r="W741" s="157">
        <f t="shared" si="320"/>
        <v>11</v>
      </c>
    </row>
    <row r="742" spans="1:23" ht="11.25" customHeight="1" x14ac:dyDescent="0.25">
      <c r="A742" s="42" t="s">
        <v>1562</v>
      </c>
      <c r="B742" s="282">
        <f t="shared" si="317"/>
        <v>11</v>
      </c>
      <c r="C742" s="27" t="s">
        <v>916</v>
      </c>
      <c r="D742" s="28" t="s">
        <v>919</v>
      </c>
      <c r="E742" s="93" t="s">
        <v>917</v>
      </c>
      <c r="F742" s="373" t="s">
        <v>798</v>
      </c>
      <c r="G742" s="374"/>
      <c r="H742" s="11">
        <v>0</v>
      </c>
      <c r="I742" s="11">
        <v>59621</v>
      </c>
      <c r="J742" s="336">
        <v>0</v>
      </c>
      <c r="K742" s="130">
        <v>148600.93</v>
      </c>
      <c r="L742" s="142">
        <v>0</v>
      </c>
      <c r="O742" s="88">
        <f t="shared" si="302"/>
        <v>0</v>
      </c>
      <c r="P742" s="123" t="str">
        <f t="shared" si="315"/>
        <v/>
      </c>
      <c r="Q742" s="88">
        <f t="shared" si="303"/>
        <v>-59621</v>
      </c>
      <c r="R742" s="123">
        <f t="shared" si="316"/>
        <v>0</v>
      </c>
      <c r="S742" s="88">
        <f t="shared" si="304"/>
        <v>-148600.93</v>
      </c>
      <c r="T742" s="123">
        <f t="shared" si="319"/>
        <v>0</v>
      </c>
      <c r="U742" s="88">
        <f t="shared" si="305"/>
        <v>88979.93</v>
      </c>
      <c r="V742" s="123">
        <f t="shared" si="306"/>
        <v>2.4924259908421527</v>
      </c>
      <c r="W742" s="157">
        <f t="shared" si="320"/>
        <v>11</v>
      </c>
    </row>
    <row r="743" spans="1:23" ht="11.25" customHeight="1" x14ac:dyDescent="0.25">
      <c r="A743" s="51" t="s">
        <v>799</v>
      </c>
      <c r="B743" s="282">
        <f t="shared" si="317"/>
        <v>4</v>
      </c>
      <c r="C743" s="51"/>
      <c r="D743" s="49"/>
      <c r="E743" s="49"/>
      <c r="F743" s="395" t="s">
        <v>1948</v>
      </c>
      <c r="G743" s="396"/>
      <c r="H743" s="50">
        <f>H744+H746+H755+H760+H785+H792</f>
        <v>113465698.86000001</v>
      </c>
      <c r="I743" s="50">
        <f>I744+I746+I755+I760+I785+I792</f>
        <v>311547306.70999998</v>
      </c>
      <c r="J743" s="135">
        <f>J744+J746+J755+J760+J785+J792</f>
        <v>287642409.02527046</v>
      </c>
      <c r="K743" s="346">
        <f>K744+K746+K755+K760+K785+K792</f>
        <v>314839412.21000004</v>
      </c>
      <c r="L743" s="152">
        <f>L744+L746+L755+L760+L785+L792</f>
        <v>275857398</v>
      </c>
      <c r="O743" s="178">
        <f t="shared" si="302"/>
        <v>-11785011.025270462</v>
      </c>
      <c r="P743" s="179">
        <f t="shared" si="315"/>
        <v>0.95902895172792446</v>
      </c>
      <c r="Q743" s="178">
        <f t="shared" si="303"/>
        <v>-35689908.709999979</v>
      </c>
      <c r="R743" s="179">
        <f t="shared" si="316"/>
        <v>0.88544305169287985</v>
      </c>
      <c r="S743" s="178">
        <f t="shared" si="304"/>
        <v>-38982014.210000038</v>
      </c>
      <c r="T743" s="179">
        <f t="shared" si="319"/>
        <v>0.87618445245985033</v>
      </c>
      <c r="U743" s="178">
        <f t="shared" si="305"/>
        <v>3292105.5000000596</v>
      </c>
      <c r="V743" s="179">
        <f t="shared" si="306"/>
        <v>1.0105669522062808</v>
      </c>
      <c r="W743" s="157">
        <f t="shared" si="320"/>
        <v>4</v>
      </c>
    </row>
    <row r="744" spans="1:23" ht="11.25" customHeight="1" x14ac:dyDescent="0.25">
      <c r="A744" s="55" t="s">
        <v>1563</v>
      </c>
      <c r="B744" s="282">
        <f t="shared" si="317"/>
        <v>7</v>
      </c>
      <c r="C744" s="55"/>
      <c r="D744" s="53"/>
      <c r="E744" s="53"/>
      <c r="F744" s="381" t="s">
        <v>801</v>
      </c>
      <c r="G744" s="382"/>
      <c r="H744" s="54">
        <f t="shared" ref="H744:L744" si="330">SUM(H745)</f>
        <v>61612.3</v>
      </c>
      <c r="I744" s="54">
        <f t="shared" si="330"/>
        <v>77944.570000000007</v>
      </c>
      <c r="J744" s="136">
        <f t="shared" si="330"/>
        <v>0</v>
      </c>
      <c r="K744" s="136">
        <f t="shared" si="330"/>
        <v>940928</v>
      </c>
      <c r="L744" s="153">
        <f t="shared" si="330"/>
        <v>0</v>
      </c>
      <c r="O744" s="88">
        <f t="shared" si="302"/>
        <v>0</v>
      </c>
      <c r="P744" s="123" t="str">
        <f t="shared" si="315"/>
        <v/>
      </c>
      <c r="Q744" s="88">
        <f t="shared" si="303"/>
        <v>-77944.570000000007</v>
      </c>
      <c r="R744" s="123">
        <f t="shared" si="316"/>
        <v>0</v>
      </c>
      <c r="S744" s="88">
        <f t="shared" si="304"/>
        <v>-940928</v>
      </c>
      <c r="T744" s="123">
        <f t="shared" si="319"/>
        <v>0</v>
      </c>
      <c r="U744" s="88">
        <f t="shared" si="305"/>
        <v>862983.42999999993</v>
      </c>
      <c r="V744" s="123">
        <f t="shared" si="306"/>
        <v>12.071758173789398</v>
      </c>
      <c r="W744" s="157">
        <f t="shared" si="320"/>
        <v>7</v>
      </c>
    </row>
    <row r="745" spans="1:23" ht="11.25" customHeight="1" x14ac:dyDescent="0.25">
      <c r="A745" s="42" t="s">
        <v>1564</v>
      </c>
      <c r="B745" s="282">
        <f t="shared" si="317"/>
        <v>11</v>
      </c>
      <c r="C745" s="14"/>
      <c r="D745" s="13"/>
      <c r="E745" s="13"/>
      <c r="F745" s="373" t="s">
        <v>802</v>
      </c>
      <c r="G745" s="374"/>
      <c r="H745" s="11">
        <v>61612.3</v>
      </c>
      <c r="I745" s="11">
        <v>77944.570000000007</v>
      </c>
      <c r="J745" s="336">
        <v>0</v>
      </c>
      <c r="K745" s="130">
        <v>940928</v>
      </c>
      <c r="L745" s="141"/>
      <c r="O745" s="88">
        <f t="shared" si="302"/>
        <v>0</v>
      </c>
      <c r="P745" s="123" t="str">
        <f t="shared" si="315"/>
        <v/>
      </c>
      <c r="Q745" s="88">
        <f t="shared" si="303"/>
        <v>-77944.570000000007</v>
      </c>
      <c r="R745" s="123">
        <f t="shared" si="316"/>
        <v>0</v>
      </c>
      <c r="S745" s="88">
        <f t="shared" si="304"/>
        <v>-940928</v>
      </c>
      <c r="T745" s="123">
        <f t="shared" si="319"/>
        <v>0</v>
      </c>
      <c r="U745" s="88">
        <f t="shared" si="305"/>
        <v>862983.42999999993</v>
      </c>
      <c r="V745" s="123">
        <f t="shared" si="306"/>
        <v>12.071758173789398</v>
      </c>
      <c r="W745" s="157">
        <f t="shared" si="320"/>
        <v>11</v>
      </c>
    </row>
    <row r="746" spans="1:23" ht="11.25" customHeight="1" x14ac:dyDescent="0.25">
      <c r="A746" s="55" t="s">
        <v>1565</v>
      </c>
      <c r="B746" s="282">
        <f t="shared" si="317"/>
        <v>7</v>
      </c>
      <c r="C746" s="55"/>
      <c r="D746" s="53"/>
      <c r="E746" s="53"/>
      <c r="F746" s="381" t="s">
        <v>803</v>
      </c>
      <c r="G746" s="382"/>
      <c r="H746" s="54">
        <f t="shared" ref="H746:L746" si="331">SUM(H747:H754)</f>
        <v>10665776.24</v>
      </c>
      <c r="I746" s="54">
        <f t="shared" si="331"/>
        <v>6956960.8100000005</v>
      </c>
      <c r="J746" s="136">
        <f t="shared" si="331"/>
        <v>999999.99999999499</v>
      </c>
      <c r="K746" s="136">
        <f t="shared" si="331"/>
        <v>6554600.6800000006</v>
      </c>
      <c r="L746" s="153">
        <f t="shared" si="331"/>
        <v>17109449</v>
      </c>
      <c r="O746" s="88">
        <f t="shared" ref="O746:O808" si="332">+L746-J746</f>
        <v>16109449.000000006</v>
      </c>
      <c r="P746" s="123">
        <f t="shared" si="315"/>
        <v>17.109449000000087</v>
      </c>
      <c r="Q746" s="88">
        <f t="shared" ref="Q746:Q808" si="333">+L746-I746</f>
        <v>10152488.189999999</v>
      </c>
      <c r="R746" s="123">
        <f t="shared" si="316"/>
        <v>2.4593280697235951</v>
      </c>
      <c r="S746" s="88">
        <f t="shared" si="304"/>
        <v>10554848.32</v>
      </c>
      <c r="T746" s="123">
        <f t="shared" si="319"/>
        <v>2.6102961622369949</v>
      </c>
      <c r="U746" s="88">
        <f t="shared" si="305"/>
        <v>-402360.12999999989</v>
      </c>
      <c r="V746" s="123">
        <f t="shared" si="306"/>
        <v>0.94216438169068828</v>
      </c>
      <c r="W746" s="157">
        <f t="shared" si="320"/>
        <v>7</v>
      </c>
    </row>
    <row r="747" spans="1:23" ht="11.25" customHeight="1" x14ac:dyDescent="0.25">
      <c r="A747" s="42" t="s">
        <v>1566</v>
      </c>
      <c r="B747" s="282">
        <f t="shared" si="317"/>
        <v>11</v>
      </c>
      <c r="C747" s="14"/>
      <c r="D747" s="13"/>
      <c r="E747" s="13"/>
      <c r="F747" s="373" t="s">
        <v>804</v>
      </c>
      <c r="G747" s="374"/>
      <c r="H747" s="11">
        <v>1312.59</v>
      </c>
      <c r="I747" s="11">
        <v>409.35</v>
      </c>
      <c r="J747" s="336">
        <v>0</v>
      </c>
      <c r="K747" s="130">
        <f>1196.91+1500</f>
        <v>2696.91</v>
      </c>
      <c r="L747" s="141"/>
      <c r="O747" s="88">
        <f t="shared" si="332"/>
        <v>0</v>
      </c>
      <c r="P747" s="123" t="str">
        <f t="shared" si="315"/>
        <v/>
      </c>
      <c r="Q747" s="88">
        <f t="shared" si="333"/>
        <v>-409.35</v>
      </c>
      <c r="R747" s="123">
        <f t="shared" si="316"/>
        <v>0</v>
      </c>
      <c r="S747" s="88">
        <f t="shared" si="304"/>
        <v>-2696.91</v>
      </c>
      <c r="T747" s="123">
        <f t="shared" si="319"/>
        <v>0</v>
      </c>
      <c r="U747" s="88">
        <f t="shared" si="305"/>
        <v>2287.56</v>
      </c>
      <c r="V747" s="123">
        <f t="shared" si="306"/>
        <v>6.5882740930743857</v>
      </c>
      <c r="W747" s="157">
        <f t="shared" si="320"/>
        <v>11</v>
      </c>
    </row>
    <row r="748" spans="1:23" ht="11.25" customHeight="1" x14ac:dyDescent="0.25">
      <c r="A748" s="42" t="s">
        <v>1567</v>
      </c>
      <c r="B748" s="282">
        <f t="shared" si="317"/>
        <v>11</v>
      </c>
      <c r="C748" s="27" t="s">
        <v>916</v>
      </c>
      <c r="D748" s="28" t="s">
        <v>920</v>
      </c>
      <c r="E748" s="28" t="s">
        <v>917</v>
      </c>
      <c r="F748" s="373" t="s">
        <v>805</v>
      </c>
      <c r="G748" s="374"/>
      <c r="H748" s="11">
        <v>671796.09</v>
      </c>
      <c r="I748" s="11">
        <v>1615940.71</v>
      </c>
      <c r="J748" s="336">
        <v>0</v>
      </c>
      <c r="K748" s="130">
        <f>849480.57+180903</f>
        <v>1030383.57</v>
      </c>
      <c r="L748" s="184">
        <v>5000000</v>
      </c>
      <c r="O748" s="88">
        <f t="shared" si="332"/>
        <v>5000000</v>
      </c>
      <c r="P748" s="123" t="str">
        <f t="shared" si="315"/>
        <v/>
      </c>
      <c r="Q748" s="88">
        <f t="shared" si="333"/>
        <v>3384059.29</v>
      </c>
      <c r="R748" s="123">
        <f t="shared" si="316"/>
        <v>3.0941729291540652</v>
      </c>
      <c r="S748" s="88">
        <f t="shared" si="304"/>
        <v>3969616.43</v>
      </c>
      <c r="T748" s="123">
        <f t="shared" si="319"/>
        <v>4.8525618474293024</v>
      </c>
      <c r="U748" s="88">
        <f t="shared" si="305"/>
        <v>-585557.14</v>
      </c>
      <c r="V748" s="123">
        <f t="shared" si="306"/>
        <v>0.63763698978782457</v>
      </c>
      <c r="W748" s="157">
        <f t="shared" si="320"/>
        <v>11</v>
      </c>
    </row>
    <row r="749" spans="1:23" ht="11.25" customHeight="1" x14ac:dyDescent="0.25">
      <c r="A749" s="42" t="s">
        <v>1568</v>
      </c>
      <c r="B749" s="282">
        <f t="shared" si="317"/>
        <v>11</v>
      </c>
      <c r="C749" s="27" t="s">
        <v>916</v>
      </c>
      <c r="D749" s="28" t="s">
        <v>923</v>
      </c>
      <c r="E749" s="28" t="s">
        <v>1633</v>
      </c>
      <c r="F749" s="373" t="s">
        <v>806</v>
      </c>
      <c r="G749" s="374"/>
      <c r="H749" s="11">
        <v>-0.04</v>
      </c>
      <c r="I749" s="11">
        <v>85101</v>
      </c>
      <c r="J749" s="336">
        <v>0</v>
      </c>
      <c r="K749" s="130">
        <v>160467</v>
      </c>
      <c r="L749" s="142">
        <f>10472000+720000</f>
        <v>11192000</v>
      </c>
      <c r="O749" s="88">
        <f t="shared" si="332"/>
        <v>11192000</v>
      </c>
      <c r="P749" s="123" t="str">
        <f t="shared" si="315"/>
        <v/>
      </c>
      <c r="Q749" s="88">
        <f t="shared" si="333"/>
        <v>11106899</v>
      </c>
      <c r="R749" s="123">
        <f t="shared" si="316"/>
        <v>131.51431828063124</v>
      </c>
      <c r="S749" s="88">
        <f t="shared" si="304"/>
        <v>11031533</v>
      </c>
      <c r="T749" s="123">
        <f t="shared" si="319"/>
        <v>69.746427614400474</v>
      </c>
      <c r="U749" s="88">
        <f t="shared" si="305"/>
        <v>75366</v>
      </c>
      <c r="V749" s="123">
        <f t="shared" si="306"/>
        <v>1.8856065146120493</v>
      </c>
      <c r="W749" s="157">
        <f t="shared" si="320"/>
        <v>11</v>
      </c>
    </row>
    <row r="750" spans="1:23" ht="11.25" customHeight="1" x14ac:dyDescent="0.25">
      <c r="A750" s="42" t="s">
        <v>1569</v>
      </c>
      <c r="B750" s="282">
        <f t="shared" si="317"/>
        <v>11</v>
      </c>
      <c r="C750" s="14"/>
      <c r="D750" s="13"/>
      <c r="E750" s="13"/>
      <c r="F750" s="373" t="s">
        <v>807</v>
      </c>
      <c r="G750" s="374"/>
      <c r="H750" s="11">
        <v>806953</v>
      </c>
      <c r="I750" s="11">
        <v>3110379</v>
      </c>
      <c r="J750" s="336">
        <v>0</v>
      </c>
      <c r="K750" s="130">
        <v>3883722</v>
      </c>
      <c r="L750" s="141"/>
      <c r="O750" s="88">
        <f t="shared" si="332"/>
        <v>0</v>
      </c>
      <c r="P750" s="123" t="str">
        <f t="shared" si="315"/>
        <v/>
      </c>
      <c r="Q750" s="88">
        <f t="shared" si="333"/>
        <v>-3110379</v>
      </c>
      <c r="R750" s="123">
        <f t="shared" si="316"/>
        <v>0</v>
      </c>
      <c r="S750" s="88">
        <f t="shared" si="304"/>
        <v>-3883722</v>
      </c>
      <c r="T750" s="123">
        <f t="shared" si="319"/>
        <v>0</v>
      </c>
      <c r="U750" s="88">
        <f t="shared" si="305"/>
        <v>773343</v>
      </c>
      <c r="V750" s="123">
        <f t="shared" si="306"/>
        <v>1.2486330443974833</v>
      </c>
      <c r="W750" s="157">
        <f t="shared" si="320"/>
        <v>11</v>
      </c>
    </row>
    <row r="751" spans="1:23" ht="11.25" customHeight="1" x14ac:dyDescent="0.25">
      <c r="A751" s="42" t="s">
        <v>1570</v>
      </c>
      <c r="B751" s="282">
        <f t="shared" si="317"/>
        <v>11</v>
      </c>
      <c r="C751" s="14"/>
      <c r="D751" s="13"/>
      <c r="E751" s="13"/>
      <c r="F751" s="373" t="s">
        <v>808</v>
      </c>
      <c r="G751" s="374"/>
      <c r="H751" s="11">
        <v>915069</v>
      </c>
      <c r="I751" s="11">
        <v>956280</v>
      </c>
      <c r="J751" s="336">
        <v>0</v>
      </c>
      <c r="K751" s="130">
        <v>647036</v>
      </c>
      <c r="L751" s="141"/>
      <c r="O751" s="88">
        <f t="shared" si="332"/>
        <v>0</v>
      </c>
      <c r="P751" s="123" t="str">
        <f t="shared" si="315"/>
        <v/>
      </c>
      <c r="Q751" s="88">
        <f t="shared" si="333"/>
        <v>-956280</v>
      </c>
      <c r="R751" s="123">
        <f t="shared" si="316"/>
        <v>0</v>
      </c>
      <c r="S751" s="88">
        <f t="shared" ref="S751:S814" si="334">L751-K751</f>
        <v>-647036</v>
      </c>
      <c r="T751" s="123">
        <f t="shared" si="319"/>
        <v>0</v>
      </c>
      <c r="U751" s="88">
        <f t="shared" ref="U751:U814" si="335">K751-I751</f>
        <v>-309244</v>
      </c>
      <c r="V751" s="123">
        <f t="shared" ref="V751:V814" si="336">IF(I751=0,"",K751/I751)</f>
        <v>0.67661772702555734</v>
      </c>
      <c r="W751" s="157">
        <f t="shared" si="320"/>
        <v>11</v>
      </c>
    </row>
    <row r="752" spans="1:23" ht="11.25" customHeight="1" x14ac:dyDescent="0.25">
      <c r="A752" s="42" t="s">
        <v>1571</v>
      </c>
      <c r="B752" s="282">
        <f t="shared" si="317"/>
        <v>11</v>
      </c>
      <c r="C752" s="27" t="s">
        <v>916</v>
      </c>
      <c r="D752" s="28" t="s">
        <v>919</v>
      </c>
      <c r="E752" s="28" t="s">
        <v>917</v>
      </c>
      <c r="F752" s="373" t="s">
        <v>809</v>
      </c>
      <c r="G752" s="374"/>
      <c r="H752" s="11">
        <v>992850.4</v>
      </c>
      <c r="I752" s="11">
        <v>1095219.25</v>
      </c>
      <c r="J752" s="336">
        <v>999999.99999999499</v>
      </c>
      <c r="K752" s="130">
        <v>830295.2</v>
      </c>
      <c r="L752" s="142">
        <v>917449</v>
      </c>
      <c r="O752" s="88">
        <f t="shared" si="332"/>
        <v>-82550.999999994994</v>
      </c>
      <c r="P752" s="123">
        <f t="shared" si="315"/>
        <v>0.91744900000000462</v>
      </c>
      <c r="Q752" s="88">
        <f t="shared" si="333"/>
        <v>-177770.25</v>
      </c>
      <c r="R752" s="123">
        <f t="shared" si="316"/>
        <v>0.83768523973624465</v>
      </c>
      <c r="S752" s="88">
        <f t="shared" si="334"/>
        <v>87153.800000000047</v>
      </c>
      <c r="T752" s="123">
        <f t="shared" si="319"/>
        <v>1.1049672453845332</v>
      </c>
      <c r="U752" s="88">
        <f t="shared" si="335"/>
        <v>-264924.05000000005</v>
      </c>
      <c r="V752" s="123">
        <f t="shared" si="336"/>
        <v>0.75810866180447423</v>
      </c>
      <c r="W752" s="157">
        <f t="shared" si="320"/>
        <v>11</v>
      </c>
    </row>
    <row r="753" spans="1:23" ht="11.25" customHeight="1" x14ac:dyDescent="0.25">
      <c r="A753" s="42" t="s">
        <v>1572</v>
      </c>
      <c r="B753" s="282">
        <f t="shared" si="317"/>
        <v>11</v>
      </c>
      <c r="C753" s="14"/>
      <c r="D753" s="13"/>
      <c r="E753" s="13"/>
      <c r="F753" s="373" t="s">
        <v>810</v>
      </c>
      <c r="G753" s="374"/>
      <c r="H753" s="11">
        <v>5803823.2000000002</v>
      </c>
      <c r="I753" s="11">
        <v>0</v>
      </c>
      <c r="J753" s="336">
        <v>0</v>
      </c>
      <c r="K753" s="130">
        <v>0</v>
      </c>
      <c r="L753" s="142">
        <v>0</v>
      </c>
      <c r="O753" s="88">
        <f t="shared" si="332"/>
        <v>0</v>
      </c>
      <c r="P753" s="123" t="str">
        <f t="shared" si="315"/>
        <v/>
      </c>
      <c r="Q753" s="88">
        <f t="shared" si="333"/>
        <v>0</v>
      </c>
      <c r="R753" s="123" t="str">
        <f t="shared" si="316"/>
        <v/>
      </c>
      <c r="S753" s="88">
        <f t="shared" si="334"/>
        <v>0</v>
      </c>
      <c r="T753" s="123" t="str">
        <f t="shared" si="319"/>
        <v/>
      </c>
      <c r="U753" s="88">
        <f t="shared" si="335"/>
        <v>0</v>
      </c>
      <c r="V753" s="123" t="str">
        <f t="shared" si="336"/>
        <v/>
      </c>
      <c r="W753" s="157">
        <f t="shared" si="320"/>
        <v>11</v>
      </c>
    </row>
    <row r="754" spans="1:23" ht="11.25" customHeight="1" x14ac:dyDescent="0.25">
      <c r="A754" s="42" t="s">
        <v>1573</v>
      </c>
      <c r="B754" s="282">
        <f t="shared" si="317"/>
        <v>11</v>
      </c>
      <c r="C754" s="14"/>
      <c r="D754" s="13"/>
      <c r="E754" s="13"/>
      <c r="F754" s="373" t="s">
        <v>811</v>
      </c>
      <c r="G754" s="374"/>
      <c r="H754" s="11">
        <v>1473972</v>
      </c>
      <c r="I754" s="11">
        <v>93631.5</v>
      </c>
      <c r="J754" s="336">
        <v>0</v>
      </c>
      <c r="K754" s="130">
        <v>0</v>
      </c>
      <c r="L754" s="142">
        <v>0</v>
      </c>
      <c r="O754" s="88">
        <f t="shared" si="332"/>
        <v>0</v>
      </c>
      <c r="P754" s="123" t="str">
        <f t="shared" si="315"/>
        <v/>
      </c>
      <c r="Q754" s="88">
        <f t="shared" si="333"/>
        <v>-93631.5</v>
      </c>
      <c r="R754" s="123">
        <f t="shared" si="316"/>
        <v>0</v>
      </c>
      <c r="S754" s="88">
        <f t="shared" si="334"/>
        <v>0</v>
      </c>
      <c r="T754" s="123" t="str">
        <f t="shared" si="319"/>
        <v/>
      </c>
      <c r="U754" s="88">
        <f t="shared" si="335"/>
        <v>-93631.5</v>
      </c>
      <c r="V754" s="123">
        <f t="shared" si="336"/>
        <v>0</v>
      </c>
      <c r="W754" s="157">
        <f t="shared" si="320"/>
        <v>11</v>
      </c>
    </row>
    <row r="755" spans="1:23" ht="11.25" customHeight="1" x14ac:dyDescent="0.25">
      <c r="A755" s="55" t="s">
        <v>1574</v>
      </c>
      <c r="B755" s="282">
        <f t="shared" si="317"/>
        <v>7</v>
      </c>
      <c r="C755" s="55"/>
      <c r="D755" s="53"/>
      <c r="E755" s="53"/>
      <c r="F755" s="381" t="s">
        <v>812</v>
      </c>
      <c r="G755" s="382"/>
      <c r="H755" s="54">
        <f>SUM(H756:H759)</f>
        <v>0</v>
      </c>
      <c r="I755" s="54">
        <f>SUM(I756:I759)</f>
        <v>191105603.09999999</v>
      </c>
      <c r="J755" s="136">
        <f>SUM(J756:J759)</f>
        <v>170500000</v>
      </c>
      <c r="K755" s="136">
        <f>SUM(K756:K759)</f>
        <v>167348050.44</v>
      </c>
      <c r="L755" s="153">
        <f>SUM(L756:L759)</f>
        <v>130500000</v>
      </c>
      <c r="O755" s="88">
        <f t="shared" si="332"/>
        <v>-40000000</v>
      </c>
      <c r="P755" s="123">
        <f t="shared" si="315"/>
        <v>0.76539589442815248</v>
      </c>
      <c r="Q755" s="88">
        <f t="shared" si="333"/>
        <v>-60605603.099999994</v>
      </c>
      <c r="R755" s="123">
        <f t="shared" si="316"/>
        <v>0.68286851815492378</v>
      </c>
      <c r="S755" s="88">
        <f t="shared" si="334"/>
        <v>-36848050.439999998</v>
      </c>
      <c r="T755" s="123">
        <f t="shared" si="319"/>
        <v>0.77981189297922959</v>
      </c>
      <c r="U755" s="88">
        <f t="shared" si="335"/>
        <v>-23757552.659999996</v>
      </c>
      <c r="V755" s="123">
        <f t="shared" si="336"/>
        <v>0.87568364153316658</v>
      </c>
      <c r="W755" s="157">
        <f t="shared" si="320"/>
        <v>7</v>
      </c>
    </row>
    <row r="756" spans="1:23" ht="11.25" customHeight="1" x14ac:dyDescent="0.25">
      <c r="A756" s="42" t="s">
        <v>1575</v>
      </c>
      <c r="B756" s="282">
        <f t="shared" si="317"/>
        <v>11</v>
      </c>
      <c r="C756" s="28" t="s">
        <v>922</v>
      </c>
      <c r="D756" s="28" t="s">
        <v>923</v>
      </c>
      <c r="E756" s="28" t="s">
        <v>1631</v>
      </c>
      <c r="F756" s="373" t="s">
        <v>813</v>
      </c>
      <c r="G756" s="374"/>
      <c r="H756" s="11">
        <v>0</v>
      </c>
      <c r="I756" s="11">
        <v>72261739.390000001</v>
      </c>
      <c r="J756" s="336">
        <v>75000000</v>
      </c>
      <c r="K756" s="130">
        <v>42294933.659999996</v>
      </c>
      <c r="L756" s="142">
        <v>50000000</v>
      </c>
      <c r="O756" s="88">
        <f t="shared" si="332"/>
        <v>-25000000</v>
      </c>
      <c r="P756" s="123">
        <f t="shared" si="315"/>
        <v>0.66666666666666663</v>
      </c>
      <c r="Q756" s="88">
        <f t="shared" si="333"/>
        <v>-22261739.390000001</v>
      </c>
      <c r="R756" s="123">
        <f t="shared" si="316"/>
        <v>0.69192909584071394</v>
      </c>
      <c r="S756" s="88">
        <f t="shared" si="334"/>
        <v>7705066.3400000036</v>
      </c>
      <c r="T756" s="123">
        <f t="shared" si="319"/>
        <v>1.1821746879174559</v>
      </c>
      <c r="U756" s="88">
        <f t="shared" si="335"/>
        <v>-29966805.730000004</v>
      </c>
      <c r="V756" s="123">
        <f t="shared" si="336"/>
        <v>0.5853019041201355</v>
      </c>
      <c r="W756" s="157">
        <f t="shared" si="320"/>
        <v>11</v>
      </c>
    </row>
    <row r="757" spans="1:23" ht="11.25" customHeight="1" x14ac:dyDescent="0.25">
      <c r="A757" s="42" t="s">
        <v>1576</v>
      </c>
      <c r="B757" s="282">
        <f t="shared" si="317"/>
        <v>11</v>
      </c>
      <c r="C757" s="28" t="s">
        <v>922</v>
      </c>
      <c r="D757" s="28" t="s">
        <v>920</v>
      </c>
      <c r="E757" s="28" t="s">
        <v>1433</v>
      </c>
      <c r="F757" s="373" t="s">
        <v>814</v>
      </c>
      <c r="G757" s="374"/>
      <c r="H757" s="11">
        <v>0</v>
      </c>
      <c r="I757" s="11">
        <v>85053975.120000005</v>
      </c>
      <c r="J757" s="336">
        <v>70000000</v>
      </c>
      <c r="K757" s="130">
        <v>98123452.780000001</v>
      </c>
      <c r="L757" s="142">
        <v>60000000</v>
      </c>
      <c r="O757" s="88">
        <f t="shared" si="332"/>
        <v>-10000000</v>
      </c>
      <c r="P757" s="123">
        <f t="shared" si="315"/>
        <v>0.8571428571428571</v>
      </c>
      <c r="Q757" s="88">
        <f t="shared" si="333"/>
        <v>-25053975.120000005</v>
      </c>
      <c r="R757" s="123">
        <f t="shared" si="316"/>
        <v>0.70543440110057021</v>
      </c>
      <c r="S757" s="88">
        <f t="shared" si="334"/>
        <v>-38123452.780000001</v>
      </c>
      <c r="T757" s="123">
        <f t="shared" si="319"/>
        <v>0.61147460979103962</v>
      </c>
      <c r="U757" s="88">
        <f t="shared" si="335"/>
        <v>13069477.659999996</v>
      </c>
      <c r="V757" s="123">
        <f t="shared" si="336"/>
        <v>1.1536609857629896</v>
      </c>
      <c r="W757" s="157">
        <f t="shared" si="320"/>
        <v>11</v>
      </c>
    </row>
    <row r="758" spans="1:23" ht="11.25" customHeight="1" x14ac:dyDescent="0.25">
      <c r="A758" s="42" t="s">
        <v>1577</v>
      </c>
      <c r="B758" s="282">
        <f t="shared" si="317"/>
        <v>11</v>
      </c>
      <c r="C758" s="20" t="s">
        <v>922</v>
      </c>
      <c r="D758" s="20" t="s">
        <v>923</v>
      </c>
      <c r="E758" s="20" t="s">
        <v>1631</v>
      </c>
      <c r="F758" s="373" t="s">
        <v>815</v>
      </c>
      <c r="G758" s="374"/>
      <c r="H758" s="11">
        <v>0</v>
      </c>
      <c r="I758" s="11">
        <v>32834754.280000001</v>
      </c>
      <c r="J758" s="336">
        <v>25000000</v>
      </c>
      <c r="K758" s="130">
        <v>26541100</v>
      </c>
      <c r="L758" s="142">
        <v>20000000</v>
      </c>
      <c r="O758" s="88">
        <f t="shared" si="332"/>
        <v>-5000000</v>
      </c>
      <c r="P758" s="123">
        <f t="shared" si="315"/>
        <v>0.8</v>
      </c>
      <c r="Q758" s="88">
        <f t="shared" si="333"/>
        <v>-12834754.280000001</v>
      </c>
      <c r="R758" s="123">
        <f t="shared" si="316"/>
        <v>0.60911069501081094</v>
      </c>
      <c r="S758" s="88">
        <f t="shared" si="334"/>
        <v>-6541100</v>
      </c>
      <c r="T758" s="123">
        <f t="shared" si="319"/>
        <v>0.75354827041833228</v>
      </c>
      <c r="U758" s="88">
        <f t="shared" si="335"/>
        <v>-6293654.2800000012</v>
      </c>
      <c r="V758" s="123">
        <f t="shared" si="336"/>
        <v>0.80832339336757175</v>
      </c>
      <c r="W758" s="157">
        <f t="shared" si="320"/>
        <v>11</v>
      </c>
    </row>
    <row r="759" spans="1:23" ht="11.25" customHeight="1" x14ac:dyDescent="0.25">
      <c r="A759" s="42" t="s">
        <v>1578</v>
      </c>
      <c r="B759" s="282">
        <f t="shared" si="317"/>
        <v>11</v>
      </c>
      <c r="C759" s="20" t="s">
        <v>922</v>
      </c>
      <c r="D759" s="20" t="s">
        <v>923</v>
      </c>
      <c r="E759" s="20" t="s">
        <v>917</v>
      </c>
      <c r="F759" s="373" t="s">
        <v>816</v>
      </c>
      <c r="G759" s="374"/>
      <c r="H759" s="11">
        <v>0</v>
      </c>
      <c r="I759" s="11">
        <v>955134.31</v>
      </c>
      <c r="J759" s="336">
        <v>499999.99999999203</v>
      </c>
      <c r="K759" s="130">
        <v>388564</v>
      </c>
      <c r="L759" s="142">
        <v>500000</v>
      </c>
      <c r="O759" s="88">
        <f t="shared" si="332"/>
        <v>7.9744495451450348E-9</v>
      </c>
      <c r="P759" s="123">
        <f t="shared" si="315"/>
        <v>1.000000000000016</v>
      </c>
      <c r="Q759" s="88">
        <f t="shared" si="333"/>
        <v>-455134.31000000006</v>
      </c>
      <c r="R759" s="123">
        <f t="shared" si="316"/>
        <v>0.52348658692828232</v>
      </c>
      <c r="S759" s="88">
        <f t="shared" si="334"/>
        <v>111436</v>
      </c>
      <c r="T759" s="123">
        <f t="shared" si="319"/>
        <v>1.2867893062661493</v>
      </c>
      <c r="U759" s="88">
        <f t="shared" si="335"/>
        <v>-566570.31000000006</v>
      </c>
      <c r="V759" s="123">
        <f t="shared" si="336"/>
        <v>0.40681608432640221</v>
      </c>
      <c r="W759" s="157">
        <f t="shared" si="320"/>
        <v>11</v>
      </c>
    </row>
    <row r="760" spans="1:23" ht="11.25" customHeight="1" x14ac:dyDescent="0.25">
      <c r="A760" s="55" t="s">
        <v>1579</v>
      </c>
      <c r="B760" s="282">
        <f t="shared" si="317"/>
        <v>7</v>
      </c>
      <c r="C760" s="55"/>
      <c r="D760" s="53"/>
      <c r="E760" s="53"/>
      <c r="F760" s="381" t="s">
        <v>817</v>
      </c>
      <c r="G760" s="382"/>
      <c r="H760" s="54">
        <f t="shared" ref="H760:L760" si="337">SUM(H761:H784)</f>
        <v>97851268.320000008</v>
      </c>
      <c r="I760" s="54">
        <f t="shared" si="337"/>
        <v>106529755.35999998</v>
      </c>
      <c r="J760" s="136">
        <f t="shared" si="337"/>
        <v>109277409.02527058</v>
      </c>
      <c r="K760" s="182">
        <f t="shared" si="337"/>
        <v>132078233.27000003</v>
      </c>
      <c r="L760" s="153">
        <f t="shared" si="337"/>
        <v>120892949</v>
      </c>
      <c r="O760" s="88">
        <f t="shared" si="332"/>
        <v>11615539.974729419</v>
      </c>
      <c r="P760" s="123">
        <f t="shared" si="315"/>
        <v>1.1062940646043622</v>
      </c>
      <c r="Q760" s="88">
        <f t="shared" si="333"/>
        <v>14363193.640000015</v>
      </c>
      <c r="R760" s="123">
        <f t="shared" si="316"/>
        <v>1.1348279979754194</v>
      </c>
      <c r="S760" s="88">
        <f t="shared" si="334"/>
        <v>-11185284.270000026</v>
      </c>
      <c r="T760" s="123">
        <f t="shared" si="319"/>
        <v>0.91531318981883569</v>
      </c>
      <c r="U760" s="88">
        <f t="shared" si="335"/>
        <v>25548477.910000041</v>
      </c>
      <c r="V760" s="123">
        <f t="shared" si="336"/>
        <v>1.2398248059771011</v>
      </c>
      <c r="W760" s="157">
        <f t="shared" si="320"/>
        <v>7</v>
      </c>
    </row>
    <row r="761" spans="1:23" ht="11.25" customHeight="1" x14ac:dyDescent="0.25">
      <c r="A761" s="42" t="s">
        <v>1580</v>
      </c>
      <c r="B761" s="282">
        <f t="shared" si="317"/>
        <v>11</v>
      </c>
      <c r="C761" s="27" t="s">
        <v>922</v>
      </c>
      <c r="D761" s="28" t="s">
        <v>923</v>
      </c>
      <c r="E761" s="28" t="s">
        <v>1249</v>
      </c>
      <c r="F761" s="373" t="s">
        <v>818</v>
      </c>
      <c r="G761" s="374"/>
      <c r="H761" s="11">
        <v>293000</v>
      </c>
      <c r="I761" s="11">
        <v>277000</v>
      </c>
      <c r="J761" s="336">
        <v>207409.02527075799</v>
      </c>
      <c r="K761" s="130">
        <v>234000</v>
      </c>
      <c r="L761" s="142">
        <v>230000</v>
      </c>
      <c r="O761" s="88">
        <f t="shared" si="332"/>
        <v>22590.974729242007</v>
      </c>
      <c r="P761" s="123">
        <f t="shared" si="315"/>
        <v>1.1089199213956629</v>
      </c>
      <c r="Q761" s="88">
        <f t="shared" si="333"/>
        <v>-47000</v>
      </c>
      <c r="R761" s="123">
        <f t="shared" si="316"/>
        <v>0.83032490974729245</v>
      </c>
      <c r="S761" s="88">
        <f t="shared" si="334"/>
        <v>-4000</v>
      </c>
      <c r="T761" s="123">
        <f t="shared" si="319"/>
        <v>0.98290598290598286</v>
      </c>
      <c r="U761" s="88">
        <f t="shared" si="335"/>
        <v>-43000</v>
      </c>
      <c r="V761" s="123">
        <f t="shared" si="336"/>
        <v>0.84476534296028882</v>
      </c>
      <c r="W761" s="157">
        <f t="shared" si="320"/>
        <v>11</v>
      </c>
    </row>
    <row r="762" spans="1:23" ht="11.25" customHeight="1" x14ac:dyDescent="0.25">
      <c r="A762" s="42" t="s">
        <v>1581</v>
      </c>
      <c r="B762" s="282">
        <f t="shared" si="317"/>
        <v>11</v>
      </c>
      <c r="C762" s="27" t="s">
        <v>916</v>
      </c>
      <c r="D762" s="28" t="s">
        <v>920</v>
      </c>
      <c r="E762" s="28" t="s">
        <v>917</v>
      </c>
      <c r="F762" s="373" t="s">
        <v>819</v>
      </c>
      <c r="G762" s="374"/>
      <c r="H762" s="11">
        <v>18505.580000000002</v>
      </c>
      <c r="I762" s="11">
        <v>3302</v>
      </c>
      <c r="J762" s="336">
        <v>0</v>
      </c>
      <c r="K762" s="130">
        <v>1920</v>
      </c>
      <c r="L762" s="141"/>
      <c r="O762" s="88">
        <f t="shared" si="332"/>
        <v>0</v>
      </c>
      <c r="P762" s="123" t="str">
        <f t="shared" si="315"/>
        <v/>
      </c>
      <c r="Q762" s="88">
        <f t="shared" si="333"/>
        <v>-3302</v>
      </c>
      <c r="R762" s="123">
        <f t="shared" si="316"/>
        <v>0</v>
      </c>
      <c r="S762" s="88">
        <f t="shared" si="334"/>
        <v>-1920</v>
      </c>
      <c r="T762" s="123">
        <f t="shared" si="319"/>
        <v>0</v>
      </c>
      <c r="U762" s="88">
        <f t="shared" si="335"/>
        <v>-1382</v>
      </c>
      <c r="V762" s="123">
        <f t="shared" si="336"/>
        <v>0.58146577831617197</v>
      </c>
      <c r="W762" s="157">
        <f t="shared" si="320"/>
        <v>11</v>
      </c>
    </row>
    <row r="763" spans="1:23" ht="11.25" customHeight="1" x14ac:dyDescent="0.25">
      <c r="A763" s="42" t="s">
        <v>1582</v>
      </c>
      <c r="B763" s="282">
        <f t="shared" si="317"/>
        <v>11</v>
      </c>
      <c r="C763" s="27" t="s">
        <v>922</v>
      </c>
      <c r="D763" s="28" t="s">
        <v>923</v>
      </c>
      <c r="E763" s="28" t="s">
        <v>1249</v>
      </c>
      <c r="F763" s="373" t="s">
        <v>820</v>
      </c>
      <c r="G763" s="374"/>
      <c r="H763" s="11">
        <v>6506849</v>
      </c>
      <c r="I763" s="11">
        <v>5990000</v>
      </c>
      <c r="J763" s="336">
        <v>6300000</v>
      </c>
      <c r="K763" s="130">
        <v>6445051</v>
      </c>
      <c r="L763" s="142">
        <f>6000000+300000</f>
        <v>6300000</v>
      </c>
      <c r="O763" s="88">
        <f t="shared" si="332"/>
        <v>0</v>
      </c>
      <c r="P763" s="123">
        <f t="shared" si="315"/>
        <v>1</v>
      </c>
      <c r="Q763" s="88">
        <f t="shared" si="333"/>
        <v>310000</v>
      </c>
      <c r="R763" s="123">
        <f t="shared" si="316"/>
        <v>1.0517529215358932</v>
      </c>
      <c r="S763" s="88">
        <f t="shared" si="334"/>
        <v>-145051</v>
      </c>
      <c r="T763" s="123">
        <f t="shared" si="319"/>
        <v>0.97749420446789326</v>
      </c>
      <c r="U763" s="88">
        <f t="shared" si="335"/>
        <v>455051</v>
      </c>
      <c r="V763" s="123">
        <f t="shared" si="336"/>
        <v>1.0759684474123539</v>
      </c>
      <c r="W763" s="157">
        <f t="shared" si="320"/>
        <v>11</v>
      </c>
    </row>
    <row r="764" spans="1:23" ht="11.25" customHeight="1" x14ac:dyDescent="0.25">
      <c r="A764" s="42" t="s">
        <v>1583</v>
      </c>
      <c r="B764" s="282">
        <f t="shared" si="317"/>
        <v>11</v>
      </c>
      <c r="C764" s="27" t="s">
        <v>916</v>
      </c>
      <c r="D764" s="20" t="s">
        <v>919</v>
      </c>
      <c r="E764" s="28" t="s">
        <v>917</v>
      </c>
      <c r="F764" s="373" t="s">
        <v>821</v>
      </c>
      <c r="G764" s="374"/>
      <c r="H764" s="11">
        <v>11982445.699999999</v>
      </c>
      <c r="I764" s="11">
        <v>11263413.48</v>
      </c>
      <c r="J764" s="336">
        <v>11500000</v>
      </c>
      <c r="K764" s="130">
        <v>11787741.779999999</v>
      </c>
      <c r="L764" s="142">
        <f>11474856+375639</f>
        <v>11850495</v>
      </c>
      <c r="O764" s="88">
        <f t="shared" si="332"/>
        <v>350495</v>
      </c>
      <c r="P764" s="123">
        <f t="shared" si="315"/>
        <v>1.0304778260869565</v>
      </c>
      <c r="Q764" s="88">
        <f t="shared" si="333"/>
        <v>587081.51999999955</v>
      </c>
      <c r="R764" s="123">
        <f t="shared" si="316"/>
        <v>1.0521228774067877</v>
      </c>
      <c r="S764" s="88">
        <f t="shared" si="334"/>
        <v>62753.220000000671</v>
      </c>
      <c r="T764" s="123">
        <f t="shared" si="319"/>
        <v>1.0053235998184549</v>
      </c>
      <c r="U764" s="88">
        <f t="shared" si="335"/>
        <v>524328.29999999888</v>
      </c>
      <c r="V764" s="123">
        <f t="shared" si="336"/>
        <v>1.0465514562642158</v>
      </c>
      <c r="W764" s="157">
        <f t="shared" si="320"/>
        <v>11</v>
      </c>
    </row>
    <row r="765" spans="1:23" ht="11.25" customHeight="1" x14ac:dyDescent="0.25">
      <c r="A765" s="42" t="s">
        <v>1584</v>
      </c>
      <c r="B765" s="282">
        <f t="shared" si="317"/>
        <v>11</v>
      </c>
      <c r="C765" s="27" t="s">
        <v>916</v>
      </c>
      <c r="D765" s="20" t="s">
        <v>919</v>
      </c>
      <c r="E765" s="28" t="s">
        <v>917</v>
      </c>
      <c r="F765" s="373" t="s">
        <v>822</v>
      </c>
      <c r="G765" s="374"/>
      <c r="H765" s="11">
        <v>1894295.65</v>
      </c>
      <c r="I765" s="11">
        <v>2121114.79</v>
      </c>
      <c r="J765" s="336">
        <v>1800000</v>
      </c>
      <c r="K765" s="130">
        <v>1680631.32</v>
      </c>
      <c r="L765" s="142">
        <v>1759764</v>
      </c>
      <c r="O765" s="88">
        <f t="shared" si="332"/>
        <v>-40236</v>
      </c>
      <c r="P765" s="123">
        <f t="shared" si="315"/>
        <v>0.97764666666666666</v>
      </c>
      <c r="Q765" s="88">
        <f t="shared" si="333"/>
        <v>-361350.79000000004</v>
      </c>
      <c r="R765" s="123">
        <f t="shared" si="316"/>
        <v>0.82964109641609729</v>
      </c>
      <c r="S765" s="88">
        <f t="shared" si="334"/>
        <v>79132.679999999935</v>
      </c>
      <c r="T765" s="123">
        <f t="shared" si="319"/>
        <v>1.0470850918094279</v>
      </c>
      <c r="U765" s="88">
        <f t="shared" si="335"/>
        <v>-440483.47</v>
      </c>
      <c r="V765" s="123">
        <f t="shared" si="336"/>
        <v>0.7923339783039276</v>
      </c>
      <c r="W765" s="157">
        <f t="shared" si="320"/>
        <v>11</v>
      </c>
    </row>
    <row r="766" spans="1:23" ht="11.25" customHeight="1" x14ac:dyDescent="0.25">
      <c r="A766" s="42" t="s">
        <v>1585</v>
      </c>
      <c r="B766" s="282">
        <f t="shared" si="317"/>
        <v>11</v>
      </c>
      <c r="C766" s="27" t="s">
        <v>916</v>
      </c>
      <c r="D766" s="28" t="s">
        <v>923</v>
      </c>
      <c r="E766" s="28" t="s">
        <v>917</v>
      </c>
      <c r="F766" s="373" t="s">
        <v>823</v>
      </c>
      <c r="G766" s="374"/>
      <c r="H766" s="11">
        <v>271494</v>
      </c>
      <c r="I766" s="11">
        <v>202327</v>
      </c>
      <c r="J766" s="336">
        <v>299999.99999999499</v>
      </c>
      <c r="K766" s="130">
        <v>145395</v>
      </c>
      <c r="L766" s="142">
        <v>170000</v>
      </c>
      <c r="O766" s="88">
        <f t="shared" si="332"/>
        <v>-129999.99999999499</v>
      </c>
      <c r="P766" s="123">
        <f t="shared" si="315"/>
        <v>0.56666666666667609</v>
      </c>
      <c r="Q766" s="88">
        <f t="shared" si="333"/>
        <v>-32327</v>
      </c>
      <c r="R766" s="123">
        <f t="shared" si="316"/>
        <v>0.84022399383176738</v>
      </c>
      <c r="S766" s="88">
        <f t="shared" si="334"/>
        <v>24605</v>
      </c>
      <c r="T766" s="123">
        <f t="shared" si="319"/>
        <v>1.1692286529798137</v>
      </c>
      <c r="U766" s="88">
        <f t="shared" si="335"/>
        <v>-56932</v>
      </c>
      <c r="V766" s="123">
        <f t="shared" si="336"/>
        <v>0.71861392695982251</v>
      </c>
      <c r="W766" s="157">
        <f t="shared" si="320"/>
        <v>11</v>
      </c>
    </row>
    <row r="767" spans="1:23" ht="11.25" customHeight="1" x14ac:dyDescent="0.25">
      <c r="A767" s="42" t="s">
        <v>1586</v>
      </c>
      <c r="B767" s="282">
        <f t="shared" si="317"/>
        <v>11</v>
      </c>
      <c r="C767" s="27" t="s">
        <v>916</v>
      </c>
      <c r="D767" s="28" t="s">
        <v>923</v>
      </c>
      <c r="E767" s="28" t="s">
        <v>1633</v>
      </c>
      <c r="F767" s="373" t="s">
        <v>824</v>
      </c>
      <c r="G767" s="374"/>
      <c r="H767" s="11">
        <v>2580000</v>
      </c>
      <c r="I767" s="11">
        <v>2860000</v>
      </c>
      <c r="J767" s="336">
        <v>2700000</v>
      </c>
      <c r="K767" s="130">
        <v>2335000</v>
      </c>
      <c r="L767" s="142">
        <v>2300000</v>
      </c>
      <c r="O767" s="88">
        <f t="shared" si="332"/>
        <v>-400000</v>
      </c>
      <c r="P767" s="123">
        <f t="shared" si="315"/>
        <v>0.85185185185185186</v>
      </c>
      <c r="Q767" s="88">
        <f t="shared" si="333"/>
        <v>-560000</v>
      </c>
      <c r="R767" s="123">
        <f t="shared" si="316"/>
        <v>0.80419580419580416</v>
      </c>
      <c r="S767" s="88">
        <f t="shared" si="334"/>
        <v>-35000</v>
      </c>
      <c r="T767" s="123">
        <f t="shared" si="319"/>
        <v>0.98501070663811563</v>
      </c>
      <c r="U767" s="88">
        <f t="shared" si="335"/>
        <v>-525000</v>
      </c>
      <c r="V767" s="123">
        <f t="shared" si="336"/>
        <v>0.81643356643356646</v>
      </c>
      <c r="W767" s="157">
        <f t="shared" si="320"/>
        <v>11</v>
      </c>
    </row>
    <row r="768" spans="1:23" ht="11.25" customHeight="1" x14ac:dyDescent="0.25">
      <c r="A768" s="42" t="s">
        <v>1587</v>
      </c>
      <c r="B768" s="282">
        <f t="shared" si="317"/>
        <v>11</v>
      </c>
      <c r="C768" s="27" t="s">
        <v>916</v>
      </c>
      <c r="D768" s="28" t="s">
        <v>923</v>
      </c>
      <c r="E768" s="28" t="s">
        <v>1633</v>
      </c>
      <c r="F768" s="373" t="s">
        <v>825</v>
      </c>
      <c r="G768" s="374"/>
      <c r="H768" s="11">
        <v>33352055.420000002</v>
      </c>
      <c r="I768" s="11">
        <v>39182396.700000003</v>
      </c>
      <c r="J768" s="336">
        <v>34999999.999999903</v>
      </c>
      <c r="K768" s="130">
        <v>50456740.090000004</v>
      </c>
      <c r="L768" s="142">
        <v>44960000</v>
      </c>
      <c r="M768" s="354" t="s">
        <v>1733</v>
      </c>
      <c r="N768" s="189"/>
      <c r="O768" s="88">
        <f t="shared" si="332"/>
        <v>9960000.0000000969</v>
      </c>
      <c r="P768" s="123">
        <f t="shared" si="315"/>
        <v>1.284571428571432</v>
      </c>
      <c r="Q768" s="88">
        <f t="shared" si="333"/>
        <v>5777603.299999997</v>
      </c>
      <c r="R768" s="123">
        <f t="shared" si="316"/>
        <v>1.1474540555606185</v>
      </c>
      <c r="S768" s="88">
        <f t="shared" si="334"/>
        <v>-5496740.0900000036</v>
      </c>
      <c r="T768" s="123">
        <f t="shared" si="319"/>
        <v>0.89106034039861803</v>
      </c>
      <c r="U768" s="88">
        <f t="shared" si="335"/>
        <v>11274343.390000001</v>
      </c>
      <c r="V768" s="123">
        <f t="shared" si="336"/>
        <v>1.2877400143825302</v>
      </c>
      <c r="W768" s="157">
        <f t="shared" si="320"/>
        <v>11</v>
      </c>
    </row>
    <row r="769" spans="1:23" ht="11.25" customHeight="1" x14ac:dyDescent="0.25">
      <c r="A769" s="42" t="s">
        <v>1588</v>
      </c>
      <c r="B769" s="282">
        <f t="shared" si="317"/>
        <v>11</v>
      </c>
      <c r="C769" s="27" t="s">
        <v>916</v>
      </c>
      <c r="D769" s="28" t="s">
        <v>923</v>
      </c>
      <c r="E769" s="28" t="s">
        <v>1633</v>
      </c>
      <c r="F769" s="373" t="s">
        <v>826</v>
      </c>
      <c r="G769" s="374"/>
      <c r="H769" s="11">
        <v>11404249.289999999</v>
      </c>
      <c r="I769" s="11">
        <v>10310353.34</v>
      </c>
      <c r="J769" s="336">
        <v>10500000</v>
      </c>
      <c r="K769" s="130">
        <v>10315943.52</v>
      </c>
      <c r="L769" s="142">
        <v>10900000</v>
      </c>
      <c r="M769" s="355"/>
      <c r="N769" s="190"/>
      <c r="O769" s="88">
        <f t="shared" si="332"/>
        <v>400000</v>
      </c>
      <c r="P769" s="123">
        <f t="shared" si="315"/>
        <v>1.0380952380952382</v>
      </c>
      <c r="Q769" s="88">
        <f t="shared" si="333"/>
        <v>589646.66000000015</v>
      </c>
      <c r="R769" s="123">
        <f t="shared" si="316"/>
        <v>1.0571897626158369</v>
      </c>
      <c r="S769" s="88">
        <f t="shared" si="334"/>
        <v>584056.48000000045</v>
      </c>
      <c r="T769" s="123">
        <f t="shared" si="319"/>
        <v>1.0566168745367464</v>
      </c>
      <c r="U769" s="88">
        <f t="shared" si="335"/>
        <v>5590.179999999702</v>
      </c>
      <c r="V769" s="123">
        <f t="shared" si="336"/>
        <v>1.0005421909235945</v>
      </c>
      <c r="W769" s="157">
        <f t="shared" si="320"/>
        <v>11</v>
      </c>
    </row>
    <row r="770" spans="1:23" ht="11.25" customHeight="1" x14ac:dyDescent="0.25">
      <c r="A770" s="42" t="s">
        <v>1589</v>
      </c>
      <c r="B770" s="282">
        <f t="shared" si="317"/>
        <v>11</v>
      </c>
      <c r="C770" s="27" t="s">
        <v>916</v>
      </c>
      <c r="D770" s="28" t="s">
        <v>923</v>
      </c>
      <c r="E770" s="28" t="s">
        <v>1633</v>
      </c>
      <c r="F770" s="373" t="s">
        <v>827</v>
      </c>
      <c r="G770" s="374"/>
      <c r="H770" s="11">
        <v>4579639.25</v>
      </c>
      <c r="I770" s="11">
        <v>5646703.3200000003</v>
      </c>
      <c r="J770" s="336">
        <v>6299999.9999999804</v>
      </c>
      <c r="K770" s="130">
        <v>9736729.9199999999</v>
      </c>
      <c r="L770" s="142">
        <v>8000000</v>
      </c>
      <c r="M770" s="355"/>
      <c r="N770" s="190"/>
      <c r="O770" s="88">
        <f t="shared" si="332"/>
        <v>1700000.0000000196</v>
      </c>
      <c r="P770" s="123">
        <f t="shared" si="315"/>
        <v>1.2698412698412738</v>
      </c>
      <c r="Q770" s="88">
        <f t="shared" si="333"/>
        <v>2353296.6799999997</v>
      </c>
      <c r="R770" s="123">
        <f t="shared" si="316"/>
        <v>1.4167558567606842</v>
      </c>
      <c r="S770" s="88">
        <f t="shared" si="334"/>
        <v>-1736729.92</v>
      </c>
      <c r="T770" s="123">
        <f t="shared" si="319"/>
        <v>0.82163108823295783</v>
      </c>
      <c r="U770" s="88">
        <f t="shared" si="335"/>
        <v>4090026.5999999996</v>
      </c>
      <c r="V770" s="123">
        <f t="shared" si="336"/>
        <v>1.7243211424821234</v>
      </c>
      <c r="W770" s="157">
        <f t="shared" si="320"/>
        <v>11</v>
      </c>
    </row>
    <row r="771" spans="1:23" ht="11.25" customHeight="1" x14ac:dyDescent="0.25">
      <c r="A771" s="42" t="s">
        <v>1590</v>
      </c>
      <c r="B771" s="282">
        <f t="shared" si="317"/>
        <v>11</v>
      </c>
      <c r="C771" s="20" t="s">
        <v>1654</v>
      </c>
      <c r="D771" s="20" t="s">
        <v>919</v>
      </c>
      <c r="E771" s="20" t="s">
        <v>1655</v>
      </c>
      <c r="F771" s="373" t="s">
        <v>828</v>
      </c>
      <c r="G771" s="374"/>
      <c r="H771" s="11">
        <v>23642.07</v>
      </c>
      <c r="I771" s="11">
        <v>29467.21</v>
      </c>
      <c r="J771" s="336">
        <v>39999.999999995998</v>
      </c>
      <c r="K771" s="130">
        <v>32677.91</v>
      </c>
      <c r="L771" s="142">
        <v>20000</v>
      </c>
      <c r="O771" s="88">
        <f t="shared" si="332"/>
        <v>-19999.999999995998</v>
      </c>
      <c r="P771" s="123">
        <f t="shared" si="315"/>
        <v>0.50000000000005007</v>
      </c>
      <c r="Q771" s="88">
        <f t="shared" si="333"/>
        <v>-9467.2099999999991</v>
      </c>
      <c r="R771" s="123">
        <f t="shared" si="316"/>
        <v>0.67872051680495038</v>
      </c>
      <c r="S771" s="88">
        <f t="shared" si="334"/>
        <v>-12677.91</v>
      </c>
      <c r="T771" s="123">
        <f t="shared" si="319"/>
        <v>0.61203424576418752</v>
      </c>
      <c r="U771" s="88">
        <f t="shared" si="335"/>
        <v>3210.7000000000007</v>
      </c>
      <c r="V771" s="123">
        <f t="shared" si="336"/>
        <v>1.1089583981652826</v>
      </c>
      <c r="W771" s="157">
        <f t="shared" si="320"/>
        <v>11</v>
      </c>
    </row>
    <row r="772" spans="1:23" ht="11.25" customHeight="1" x14ac:dyDescent="0.25">
      <c r="A772" s="42" t="s">
        <v>1591</v>
      </c>
      <c r="B772" s="282">
        <f t="shared" si="317"/>
        <v>11</v>
      </c>
      <c r="C772" s="27" t="s">
        <v>916</v>
      </c>
      <c r="D772" s="28" t="s">
        <v>923</v>
      </c>
      <c r="E772" s="28" t="s">
        <v>917</v>
      </c>
      <c r="F772" s="373" t="s">
        <v>829</v>
      </c>
      <c r="G772" s="374"/>
      <c r="H772" s="11">
        <v>1214065</v>
      </c>
      <c r="I772" s="11">
        <v>1434118.11</v>
      </c>
      <c r="J772" s="336">
        <v>1199999.99999999</v>
      </c>
      <c r="K772" s="130">
        <v>1381950.29</v>
      </c>
      <c r="L772" s="142">
        <v>1400000</v>
      </c>
      <c r="O772" s="88">
        <f t="shared" si="332"/>
        <v>200000.00000001001</v>
      </c>
      <c r="P772" s="123">
        <f t="shared" si="315"/>
        <v>1.1666666666666765</v>
      </c>
      <c r="Q772" s="88">
        <f t="shared" si="333"/>
        <v>-34118.110000000102</v>
      </c>
      <c r="R772" s="123">
        <f t="shared" si="316"/>
        <v>0.97620969307751082</v>
      </c>
      <c r="S772" s="88">
        <f t="shared" si="334"/>
        <v>18049.709999999963</v>
      </c>
      <c r="T772" s="123">
        <f t="shared" si="319"/>
        <v>1.0130610414358681</v>
      </c>
      <c r="U772" s="88">
        <f t="shared" si="335"/>
        <v>-52167.820000000065</v>
      </c>
      <c r="V772" s="123">
        <f t="shared" si="336"/>
        <v>0.96362376317805509</v>
      </c>
      <c r="W772" s="157">
        <f t="shared" si="320"/>
        <v>11</v>
      </c>
    </row>
    <row r="773" spans="1:23" ht="11.25" customHeight="1" x14ac:dyDescent="0.25">
      <c r="A773" s="42" t="s">
        <v>1592</v>
      </c>
      <c r="B773" s="282">
        <f t="shared" si="317"/>
        <v>11</v>
      </c>
      <c r="C773" s="27" t="s">
        <v>916</v>
      </c>
      <c r="D773" s="20" t="s">
        <v>919</v>
      </c>
      <c r="E773" s="28" t="s">
        <v>917</v>
      </c>
      <c r="F773" s="373" t="s">
        <v>830</v>
      </c>
      <c r="G773" s="374"/>
      <c r="H773" s="11">
        <v>6013704.5599999996</v>
      </c>
      <c r="I773" s="11">
        <v>6807839.6600000001</v>
      </c>
      <c r="J773" s="336">
        <v>7000000</v>
      </c>
      <c r="K773" s="130">
        <v>8315770.75</v>
      </c>
      <c r="L773" s="142">
        <v>8020000</v>
      </c>
      <c r="O773" s="88">
        <f t="shared" si="332"/>
        <v>1020000</v>
      </c>
      <c r="P773" s="123">
        <f t="shared" si="315"/>
        <v>1.1457142857142857</v>
      </c>
      <c r="Q773" s="88">
        <f t="shared" si="333"/>
        <v>1212160.3399999999</v>
      </c>
      <c r="R773" s="123">
        <f t="shared" si="316"/>
        <v>1.1780535971083665</v>
      </c>
      <c r="S773" s="88">
        <f t="shared" si="334"/>
        <v>-295770.75</v>
      </c>
      <c r="T773" s="123">
        <f t="shared" si="319"/>
        <v>0.96443255124607663</v>
      </c>
      <c r="U773" s="88">
        <f t="shared" si="335"/>
        <v>1507931.0899999999</v>
      </c>
      <c r="V773" s="123">
        <f t="shared" si="336"/>
        <v>1.221499207576813</v>
      </c>
      <c r="W773" s="157">
        <f t="shared" si="320"/>
        <v>11</v>
      </c>
    </row>
    <row r="774" spans="1:23" ht="11.25" customHeight="1" x14ac:dyDescent="0.25">
      <c r="A774" s="42" t="s">
        <v>1593</v>
      </c>
      <c r="B774" s="282">
        <f t="shared" si="317"/>
        <v>11</v>
      </c>
      <c r="C774" s="27" t="s">
        <v>916</v>
      </c>
      <c r="D774" s="20" t="s">
        <v>919</v>
      </c>
      <c r="E774" s="28" t="s">
        <v>917</v>
      </c>
      <c r="F774" s="373" t="s">
        <v>831</v>
      </c>
      <c r="G774" s="374"/>
      <c r="H774" s="11">
        <v>453689.79</v>
      </c>
      <c r="I774" s="11">
        <v>1140552.28</v>
      </c>
      <c r="J774" s="336">
        <v>1800000</v>
      </c>
      <c r="K774" s="130">
        <v>1174178.24</v>
      </c>
      <c r="L774" s="142">
        <v>1100000</v>
      </c>
      <c r="O774" s="88">
        <f t="shared" si="332"/>
        <v>-700000</v>
      </c>
      <c r="P774" s="123">
        <f t="shared" si="315"/>
        <v>0.61111111111111116</v>
      </c>
      <c r="Q774" s="88">
        <f t="shared" si="333"/>
        <v>-40552.280000000028</v>
      </c>
      <c r="R774" s="123">
        <f t="shared" si="316"/>
        <v>0.96444504937555342</v>
      </c>
      <c r="S774" s="88">
        <f t="shared" si="334"/>
        <v>-74178.239999999991</v>
      </c>
      <c r="T774" s="123">
        <f t="shared" si="319"/>
        <v>0.93682540054566166</v>
      </c>
      <c r="U774" s="88">
        <f t="shared" si="335"/>
        <v>33625.959999999963</v>
      </c>
      <c r="V774" s="123">
        <f t="shared" si="336"/>
        <v>1.0294821733204549</v>
      </c>
      <c r="W774" s="157">
        <f t="shared" si="320"/>
        <v>11</v>
      </c>
    </row>
    <row r="775" spans="1:23" ht="11.25" customHeight="1" x14ac:dyDescent="0.25">
      <c r="A775" s="42" t="s">
        <v>1594</v>
      </c>
      <c r="B775" s="282">
        <f t="shared" si="317"/>
        <v>11</v>
      </c>
      <c r="C775" s="27" t="s">
        <v>916</v>
      </c>
      <c r="D775" s="28" t="s">
        <v>923</v>
      </c>
      <c r="E775" s="28" t="s">
        <v>917</v>
      </c>
      <c r="F775" s="373" t="s">
        <v>832</v>
      </c>
      <c r="G775" s="374"/>
      <c r="H775" s="11">
        <v>66451.23</v>
      </c>
      <c r="I775" s="11">
        <v>440587.56</v>
      </c>
      <c r="J775" s="336">
        <v>569999.99999999697</v>
      </c>
      <c r="K775" s="130">
        <v>448580.91</v>
      </c>
      <c r="L775" s="142">
        <v>550000</v>
      </c>
      <c r="O775" s="88">
        <f t="shared" si="332"/>
        <v>-19999.999999996973</v>
      </c>
      <c r="P775" s="123">
        <f t="shared" si="315"/>
        <v>0.96491228070175949</v>
      </c>
      <c r="Q775" s="88">
        <f t="shared" si="333"/>
        <v>109412.44</v>
      </c>
      <c r="R775" s="123">
        <f t="shared" si="316"/>
        <v>1.2483330214770476</v>
      </c>
      <c r="S775" s="88">
        <f t="shared" si="334"/>
        <v>101419.09000000003</v>
      </c>
      <c r="T775" s="123">
        <f t="shared" si="319"/>
        <v>1.2260887339142452</v>
      </c>
      <c r="U775" s="88">
        <f t="shared" si="335"/>
        <v>7993.3499999999767</v>
      </c>
      <c r="V775" s="123">
        <f t="shared" si="336"/>
        <v>1.0181424777404064</v>
      </c>
      <c r="W775" s="157">
        <f t="shared" si="320"/>
        <v>11</v>
      </c>
    </row>
    <row r="776" spans="1:23" ht="11.25" customHeight="1" x14ac:dyDescent="0.25">
      <c r="A776" s="42" t="s">
        <v>1595</v>
      </c>
      <c r="B776" s="282">
        <f t="shared" si="317"/>
        <v>11</v>
      </c>
      <c r="C776" s="27" t="s">
        <v>916</v>
      </c>
      <c r="D776" s="20" t="s">
        <v>919</v>
      </c>
      <c r="E776" s="28" t="s">
        <v>917</v>
      </c>
      <c r="F776" s="373" t="s">
        <v>833</v>
      </c>
      <c r="G776" s="374"/>
      <c r="H776" s="11">
        <v>8741827.0999999996</v>
      </c>
      <c r="I776" s="11">
        <v>3158819.29</v>
      </c>
      <c r="J776" s="336">
        <v>2499999.9999999702</v>
      </c>
      <c r="K776" s="130">
        <v>17667685.640000001</v>
      </c>
      <c r="L776" s="142">
        <v>3000000</v>
      </c>
      <c r="O776" s="88">
        <f t="shared" si="332"/>
        <v>500000.0000000298</v>
      </c>
      <c r="P776" s="123">
        <f t="shared" si="315"/>
        <v>1.2000000000000144</v>
      </c>
      <c r="Q776" s="88">
        <f t="shared" si="333"/>
        <v>-158819.29000000004</v>
      </c>
      <c r="R776" s="123">
        <f t="shared" si="316"/>
        <v>0.94972194499926588</v>
      </c>
      <c r="S776" s="88">
        <f t="shared" si="334"/>
        <v>-14667685.640000001</v>
      </c>
      <c r="T776" s="123">
        <f t="shared" si="319"/>
        <v>0.16980152698709663</v>
      </c>
      <c r="U776" s="88">
        <f t="shared" si="335"/>
        <v>14508866.350000001</v>
      </c>
      <c r="V776" s="123">
        <f t="shared" si="336"/>
        <v>5.593129589885466</v>
      </c>
      <c r="W776" s="157">
        <f t="shared" si="320"/>
        <v>11</v>
      </c>
    </row>
    <row r="777" spans="1:23" ht="11.25" customHeight="1" x14ac:dyDescent="0.25">
      <c r="A777" s="42" t="s">
        <v>1596</v>
      </c>
      <c r="B777" s="282">
        <f t="shared" si="317"/>
        <v>11</v>
      </c>
      <c r="C777" s="27" t="s">
        <v>916</v>
      </c>
      <c r="D777" s="28" t="s">
        <v>920</v>
      </c>
      <c r="E777" s="28" t="s">
        <v>917</v>
      </c>
      <c r="F777" s="373" t="s">
        <v>834</v>
      </c>
      <c r="G777" s="374"/>
      <c r="H777" s="11">
        <v>11147.92</v>
      </c>
      <c r="I777" s="11">
        <v>5082.6099999999997</v>
      </c>
      <c r="J777" s="336">
        <v>9999.999999996</v>
      </c>
      <c r="K777" s="130">
        <v>4122.5</v>
      </c>
      <c r="L777" s="141"/>
      <c r="O777" s="88">
        <f t="shared" si="332"/>
        <v>-9999.999999996</v>
      </c>
      <c r="P777" s="123">
        <f t="shared" si="315"/>
        <v>0</v>
      </c>
      <c r="Q777" s="88">
        <f t="shared" si="333"/>
        <v>-5082.6099999999997</v>
      </c>
      <c r="R777" s="123">
        <f t="shared" si="316"/>
        <v>0</v>
      </c>
      <c r="S777" s="88">
        <f t="shared" si="334"/>
        <v>-4122.5</v>
      </c>
      <c r="T777" s="123">
        <f t="shared" si="319"/>
        <v>0</v>
      </c>
      <c r="U777" s="88">
        <f t="shared" si="335"/>
        <v>-960.10999999999967</v>
      </c>
      <c r="V777" s="123">
        <f t="shared" si="336"/>
        <v>0.81109902195919026</v>
      </c>
      <c r="W777" s="157">
        <f t="shared" si="320"/>
        <v>11</v>
      </c>
    </row>
    <row r="778" spans="1:23" ht="11.25" customHeight="1" x14ac:dyDescent="0.25">
      <c r="A778" s="42" t="s">
        <v>1597</v>
      </c>
      <c r="B778" s="282">
        <f t="shared" si="317"/>
        <v>11</v>
      </c>
      <c r="C778" s="27" t="s">
        <v>916</v>
      </c>
      <c r="D778" s="20" t="s">
        <v>919</v>
      </c>
      <c r="E778" s="28" t="s">
        <v>917</v>
      </c>
      <c r="F778" s="373" t="s">
        <v>835</v>
      </c>
      <c r="G778" s="374"/>
      <c r="H778" s="11">
        <v>110255.33</v>
      </c>
      <c r="I778" s="11">
        <v>186024.35</v>
      </c>
      <c r="J778" s="336">
        <v>269999.99999999499</v>
      </c>
      <c r="K778" s="130">
        <v>216563.56</v>
      </c>
      <c r="L778" s="142">
        <v>230000</v>
      </c>
      <c r="O778" s="88">
        <f t="shared" si="332"/>
        <v>-39999.999999994994</v>
      </c>
      <c r="P778" s="123">
        <f t="shared" ref="P778:P837" si="338">IF(J778=0,"",L778/J778)</f>
        <v>0.85185185185186763</v>
      </c>
      <c r="Q778" s="88">
        <f t="shared" si="333"/>
        <v>43975.649999999994</v>
      </c>
      <c r="R778" s="123">
        <f t="shared" ref="R778:R837" si="339">IF(I778=0,"",L778/I778)</f>
        <v>1.2363972780982704</v>
      </c>
      <c r="S778" s="88">
        <f t="shared" si="334"/>
        <v>13436.440000000002</v>
      </c>
      <c r="T778" s="123">
        <f t="shared" si="319"/>
        <v>1.062043863704494</v>
      </c>
      <c r="U778" s="88">
        <f t="shared" si="335"/>
        <v>30539.209999999992</v>
      </c>
      <c r="V778" s="123">
        <f t="shared" si="336"/>
        <v>1.1641678092142238</v>
      </c>
      <c r="W778" s="157">
        <f t="shared" si="320"/>
        <v>11</v>
      </c>
    </row>
    <row r="779" spans="1:23" ht="11.25" customHeight="1" x14ac:dyDescent="0.25">
      <c r="A779" s="42" t="s">
        <v>1598</v>
      </c>
      <c r="B779" s="282">
        <f t="shared" si="317"/>
        <v>11</v>
      </c>
      <c r="C779" s="20" t="s">
        <v>1243</v>
      </c>
      <c r="D779" s="20" t="s">
        <v>920</v>
      </c>
      <c r="E779" s="20" t="s">
        <v>1245</v>
      </c>
      <c r="F779" s="373" t="s">
        <v>836</v>
      </c>
      <c r="G779" s="374"/>
      <c r="H779" s="11">
        <v>3428917.62</v>
      </c>
      <c r="I779" s="11">
        <v>4687927.1699999897</v>
      </c>
      <c r="J779" s="336">
        <v>4000000</v>
      </c>
      <c r="K779" s="130">
        <v>5560845.3100000201</v>
      </c>
      <c r="L779" s="142">
        <v>4400000</v>
      </c>
      <c r="O779" s="88">
        <f t="shared" si="332"/>
        <v>400000</v>
      </c>
      <c r="P779" s="123">
        <f t="shared" si="338"/>
        <v>1.1000000000000001</v>
      </c>
      <c r="Q779" s="88">
        <f t="shared" si="333"/>
        <v>-287927.16999998968</v>
      </c>
      <c r="R779" s="123">
        <f t="shared" si="339"/>
        <v>0.93858113414334665</v>
      </c>
      <c r="S779" s="88">
        <f t="shared" si="334"/>
        <v>-1160845.3100000201</v>
      </c>
      <c r="T779" s="123">
        <f t="shared" si="319"/>
        <v>0.79124660995110185</v>
      </c>
      <c r="U779" s="88">
        <f t="shared" si="335"/>
        <v>872918.1400000304</v>
      </c>
      <c r="V779" s="123">
        <f t="shared" si="336"/>
        <v>1.1862055676944385</v>
      </c>
      <c r="W779" s="157">
        <f t="shared" si="320"/>
        <v>11</v>
      </c>
    </row>
    <row r="780" spans="1:23" ht="11.25" customHeight="1" x14ac:dyDescent="0.25">
      <c r="A780" s="42" t="s">
        <v>1599</v>
      </c>
      <c r="B780" s="282">
        <f t="shared" ref="B780:B837" si="340">LEN(A780)</f>
        <v>11</v>
      </c>
      <c r="C780" s="27" t="s">
        <v>916</v>
      </c>
      <c r="D780" s="28" t="s">
        <v>923</v>
      </c>
      <c r="E780" s="28" t="s">
        <v>917</v>
      </c>
      <c r="F780" s="373" t="s">
        <v>837</v>
      </c>
      <c r="G780" s="374"/>
      <c r="H780" s="11">
        <v>185659.02</v>
      </c>
      <c r="I780" s="11">
        <v>120594.93</v>
      </c>
      <c r="J780" s="336">
        <v>199999.99999998699</v>
      </c>
      <c r="K780" s="130">
        <v>135579.68</v>
      </c>
      <c r="L780" s="142">
        <v>130000</v>
      </c>
      <c r="O780" s="88">
        <f t="shared" si="332"/>
        <v>-69999.999999986991</v>
      </c>
      <c r="P780" s="123">
        <f t="shared" si="338"/>
        <v>0.65000000000004232</v>
      </c>
      <c r="Q780" s="88">
        <f t="shared" si="333"/>
        <v>9405.070000000007</v>
      </c>
      <c r="R780" s="123">
        <f t="shared" si="339"/>
        <v>1.0779889336972956</v>
      </c>
      <c r="S780" s="88">
        <f t="shared" si="334"/>
        <v>-5579.679999999993</v>
      </c>
      <c r="T780" s="123">
        <f t="shared" ref="T780:T837" si="341">IF(K780=0,"",L780/K780)</f>
        <v>0.95884575033662867</v>
      </c>
      <c r="U780" s="88">
        <f t="shared" si="335"/>
        <v>14984.75</v>
      </c>
      <c r="V780" s="123">
        <f t="shared" si="336"/>
        <v>1.1242568821093888</v>
      </c>
      <c r="W780" s="157">
        <f t="shared" si="320"/>
        <v>11</v>
      </c>
    </row>
    <row r="781" spans="1:23" ht="11.25" customHeight="1" x14ac:dyDescent="0.25">
      <c r="A781" s="42" t="s">
        <v>1632</v>
      </c>
      <c r="B781" s="282">
        <f t="shared" si="340"/>
        <v>11</v>
      </c>
      <c r="C781" s="27" t="s">
        <v>916</v>
      </c>
      <c r="D781" s="20" t="s">
        <v>919</v>
      </c>
      <c r="E781" s="28" t="s">
        <v>917</v>
      </c>
      <c r="F781" s="373" t="s">
        <v>838</v>
      </c>
      <c r="G781" s="374"/>
      <c r="H781" s="11">
        <v>3110616.86</v>
      </c>
      <c r="I781" s="11">
        <v>3394424.64</v>
      </c>
      <c r="J781" s="336">
        <v>3300000</v>
      </c>
      <c r="K781" s="130">
        <v>3683745.79</v>
      </c>
      <c r="L781" s="142">
        <v>3785690</v>
      </c>
      <c r="O781" s="88">
        <f t="shared" si="332"/>
        <v>485690</v>
      </c>
      <c r="P781" s="123">
        <f t="shared" si="338"/>
        <v>1.1471787878787878</v>
      </c>
      <c r="Q781" s="88">
        <f t="shared" si="333"/>
        <v>391265.35999999987</v>
      </c>
      <c r="R781" s="123">
        <f t="shared" si="339"/>
        <v>1.1152670633453803</v>
      </c>
      <c r="S781" s="88">
        <f t="shared" si="334"/>
        <v>101944.20999999996</v>
      </c>
      <c r="T781" s="123">
        <f t="shared" si="341"/>
        <v>1.0276740621670313</v>
      </c>
      <c r="U781" s="88">
        <f t="shared" si="335"/>
        <v>289321.14999999991</v>
      </c>
      <c r="V781" s="123">
        <f t="shared" si="336"/>
        <v>1.0852342239655672</v>
      </c>
      <c r="W781" s="157">
        <f t="shared" si="320"/>
        <v>11</v>
      </c>
    </row>
    <row r="782" spans="1:23" ht="11.25" customHeight="1" x14ac:dyDescent="0.25">
      <c r="A782" s="42" t="s">
        <v>1600</v>
      </c>
      <c r="B782" s="282">
        <f t="shared" si="340"/>
        <v>11</v>
      </c>
      <c r="C782" s="27" t="s">
        <v>916</v>
      </c>
      <c r="D782" s="20" t="s">
        <v>919</v>
      </c>
      <c r="E782" s="28" t="s">
        <v>917</v>
      </c>
      <c r="F782" s="373" t="s">
        <v>839</v>
      </c>
      <c r="G782" s="374"/>
      <c r="H782" s="11">
        <v>1580757.93</v>
      </c>
      <c r="I782" s="11">
        <v>1269286.92</v>
      </c>
      <c r="J782" s="336">
        <v>2000000</v>
      </c>
      <c r="K782" s="130">
        <v>317380.06</v>
      </c>
      <c r="L782" s="142">
        <v>7000</v>
      </c>
      <c r="M782" s="104" t="s">
        <v>1749</v>
      </c>
      <c r="O782" s="88">
        <f t="shared" si="332"/>
        <v>-1993000</v>
      </c>
      <c r="P782" s="123">
        <f t="shared" si="338"/>
        <v>3.5000000000000001E-3</v>
      </c>
      <c r="Q782" s="88">
        <f t="shared" si="333"/>
        <v>-1262286.92</v>
      </c>
      <c r="R782" s="123">
        <f t="shared" si="339"/>
        <v>5.5149075356421386E-3</v>
      </c>
      <c r="S782" s="88">
        <f t="shared" si="334"/>
        <v>-310380.06</v>
      </c>
      <c r="T782" s="123">
        <f t="shared" si="341"/>
        <v>2.2055575892196883E-2</v>
      </c>
      <c r="U782" s="88">
        <f t="shared" si="335"/>
        <v>-951906.85999999987</v>
      </c>
      <c r="V782" s="123">
        <f t="shared" si="336"/>
        <v>0.25004595493665061</v>
      </c>
      <c r="W782" s="157">
        <f t="shared" ref="W782:W837" si="342">LEN(A782)</f>
        <v>11</v>
      </c>
    </row>
    <row r="783" spans="1:23" ht="11.25" customHeight="1" x14ac:dyDescent="0.25">
      <c r="A783" s="42" t="s">
        <v>1601</v>
      </c>
      <c r="B783" s="282">
        <f t="shared" si="340"/>
        <v>11</v>
      </c>
      <c r="C783" s="27" t="s">
        <v>916</v>
      </c>
      <c r="D783" s="28" t="s">
        <v>923</v>
      </c>
      <c r="E783" s="34" t="s">
        <v>917</v>
      </c>
      <c r="F783" s="373" t="s">
        <v>1683</v>
      </c>
      <c r="G783" s="374"/>
      <c r="H783" s="11">
        <v>28000</v>
      </c>
      <c r="I783" s="11">
        <v>5998420</v>
      </c>
      <c r="J783" s="336">
        <v>11780000</v>
      </c>
      <c r="K783" s="130"/>
      <c r="L783" s="142">
        <v>11780000</v>
      </c>
      <c r="O783" s="88">
        <f t="shared" si="332"/>
        <v>0</v>
      </c>
      <c r="P783" s="123">
        <f t="shared" si="338"/>
        <v>1</v>
      </c>
      <c r="Q783" s="88">
        <f t="shared" si="333"/>
        <v>5781580</v>
      </c>
      <c r="R783" s="123">
        <f t="shared" si="339"/>
        <v>1.9638504806265651</v>
      </c>
      <c r="S783" s="88">
        <f t="shared" si="334"/>
        <v>11780000</v>
      </c>
      <c r="T783" s="123" t="str">
        <f t="shared" si="341"/>
        <v/>
      </c>
      <c r="U783" s="88">
        <f t="shared" si="335"/>
        <v>-5998420</v>
      </c>
      <c r="V783" s="123">
        <f t="shared" si="336"/>
        <v>0</v>
      </c>
      <c r="W783" s="157">
        <f t="shared" si="342"/>
        <v>11</v>
      </c>
    </row>
    <row r="784" spans="1:23" ht="11.25" customHeight="1" x14ac:dyDescent="0.25">
      <c r="A784" s="42" t="s">
        <v>1602</v>
      </c>
      <c r="B784" s="282">
        <f t="shared" si="340"/>
        <v>11</v>
      </c>
      <c r="C784" s="27"/>
      <c r="D784" s="28"/>
      <c r="E784" s="28"/>
      <c r="F784" s="373" t="s">
        <v>840</v>
      </c>
      <c r="G784" s="374"/>
      <c r="H784" s="11">
        <v>0</v>
      </c>
      <c r="I784" s="11">
        <v>0</v>
      </c>
      <c r="J784" s="336">
        <v>0</v>
      </c>
      <c r="K784" s="130">
        <v>0</v>
      </c>
      <c r="L784" s="142">
        <v>0</v>
      </c>
      <c r="O784" s="88">
        <f t="shared" si="332"/>
        <v>0</v>
      </c>
      <c r="P784" s="123" t="str">
        <f t="shared" si="338"/>
        <v/>
      </c>
      <c r="Q784" s="88">
        <f t="shared" si="333"/>
        <v>0</v>
      </c>
      <c r="R784" s="123" t="str">
        <f t="shared" si="339"/>
        <v/>
      </c>
      <c r="S784" s="88">
        <f t="shared" si="334"/>
        <v>0</v>
      </c>
      <c r="T784" s="123" t="str">
        <f t="shared" si="341"/>
        <v/>
      </c>
      <c r="U784" s="88">
        <f t="shared" si="335"/>
        <v>0</v>
      </c>
      <c r="V784" s="123" t="str">
        <f t="shared" si="336"/>
        <v/>
      </c>
      <c r="W784" s="157">
        <f t="shared" si="342"/>
        <v>11</v>
      </c>
    </row>
    <row r="785" spans="1:23" ht="11.25" customHeight="1" x14ac:dyDescent="0.25">
      <c r="A785" s="55" t="s">
        <v>1603</v>
      </c>
      <c r="B785" s="282">
        <f t="shared" si="340"/>
        <v>7</v>
      </c>
      <c r="C785" s="55"/>
      <c r="D785" s="53"/>
      <c r="E785" s="53"/>
      <c r="F785" s="381" t="s">
        <v>841</v>
      </c>
      <c r="G785" s="382"/>
      <c r="H785" s="54">
        <f t="shared" ref="H785:L785" si="343">SUM(H786:H791)</f>
        <v>3969098.2500000005</v>
      </c>
      <c r="I785" s="54">
        <f t="shared" si="343"/>
        <v>5332812.47</v>
      </c>
      <c r="J785" s="136">
        <f t="shared" si="343"/>
        <v>5864999.9999998836</v>
      </c>
      <c r="K785" s="136">
        <f t="shared" si="343"/>
        <v>5411846.4000000004</v>
      </c>
      <c r="L785" s="153">
        <f t="shared" si="343"/>
        <v>5855000</v>
      </c>
      <c r="O785" s="88">
        <f t="shared" si="332"/>
        <v>-9999.9999998835847</v>
      </c>
      <c r="P785" s="123">
        <f t="shared" si="338"/>
        <v>0.99829497016199764</v>
      </c>
      <c r="Q785" s="88">
        <f t="shared" si="333"/>
        <v>522187.53000000026</v>
      </c>
      <c r="R785" s="123">
        <f t="shared" si="339"/>
        <v>1.0979197248989332</v>
      </c>
      <c r="S785" s="88">
        <f t="shared" si="334"/>
        <v>443153.59999999963</v>
      </c>
      <c r="T785" s="123">
        <f t="shared" si="341"/>
        <v>1.0818858421406785</v>
      </c>
      <c r="U785" s="88">
        <f t="shared" si="335"/>
        <v>79033.930000000633</v>
      </c>
      <c r="V785" s="123">
        <f t="shared" si="336"/>
        <v>1.0148203092541899</v>
      </c>
      <c r="W785" s="157">
        <f t="shared" si="342"/>
        <v>7</v>
      </c>
    </row>
    <row r="786" spans="1:23" ht="11.25" customHeight="1" x14ac:dyDescent="0.25">
      <c r="A786" s="42" t="s">
        <v>1604</v>
      </c>
      <c r="B786" s="282">
        <f t="shared" si="340"/>
        <v>11</v>
      </c>
      <c r="C786" s="20" t="s">
        <v>916</v>
      </c>
      <c r="D786" s="20" t="s">
        <v>919</v>
      </c>
      <c r="E786" s="20" t="s">
        <v>1089</v>
      </c>
      <c r="F786" s="373" t="s">
        <v>842</v>
      </c>
      <c r="G786" s="374"/>
      <c r="H786" s="11">
        <v>143687.91</v>
      </c>
      <c r="I786" s="11">
        <v>102908.2</v>
      </c>
      <c r="J786" s="336">
        <v>104999.99999999101</v>
      </c>
      <c r="K786" s="130">
        <v>151632.25</v>
      </c>
      <c r="L786" s="142">
        <v>105000</v>
      </c>
      <c r="O786" s="88">
        <f t="shared" si="332"/>
        <v>8.9930836111307144E-9</v>
      </c>
      <c r="P786" s="123">
        <f t="shared" si="338"/>
        <v>1.0000000000000857</v>
      </c>
      <c r="Q786" s="88">
        <f t="shared" si="333"/>
        <v>2091.8000000000029</v>
      </c>
      <c r="R786" s="123">
        <f t="shared" si="339"/>
        <v>1.0203268544197643</v>
      </c>
      <c r="S786" s="88">
        <f t="shared" si="334"/>
        <v>-46632.25</v>
      </c>
      <c r="T786" s="123">
        <f t="shared" si="341"/>
        <v>0.69246482855724956</v>
      </c>
      <c r="U786" s="88">
        <f t="shared" si="335"/>
        <v>48724.05</v>
      </c>
      <c r="V786" s="123">
        <f t="shared" si="336"/>
        <v>1.4734710159151554</v>
      </c>
      <c r="W786" s="157">
        <f t="shared" si="342"/>
        <v>11</v>
      </c>
    </row>
    <row r="787" spans="1:23" ht="11.25" customHeight="1" x14ac:dyDescent="0.25">
      <c r="A787" s="42" t="s">
        <v>1605</v>
      </c>
      <c r="B787" s="282">
        <f t="shared" si="340"/>
        <v>11</v>
      </c>
      <c r="C787" s="20" t="s">
        <v>916</v>
      </c>
      <c r="D787" s="20" t="s">
        <v>919</v>
      </c>
      <c r="E787" s="20" t="s">
        <v>1089</v>
      </c>
      <c r="F787" s="373" t="s">
        <v>843</v>
      </c>
      <c r="G787" s="374"/>
      <c r="H787" s="11">
        <v>1773117.54</v>
      </c>
      <c r="I787" s="11">
        <v>1750537.99</v>
      </c>
      <c r="J787" s="336">
        <v>1949999.99999997</v>
      </c>
      <c r="K787" s="130">
        <v>2017262.97</v>
      </c>
      <c r="L787" s="142">
        <v>1950000</v>
      </c>
      <c r="O787" s="88">
        <f t="shared" si="332"/>
        <v>3.0035153031349182E-8</v>
      </c>
      <c r="P787" s="123">
        <f t="shared" si="338"/>
        <v>1.0000000000000153</v>
      </c>
      <c r="Q787" s="88">
        <f t="shared" si="333"/>
        <v>199462.01</v>
      </c>
      <c r="R787" s="123">
        <f t="shared" si="339"/>
        <v>1.1139432626652108</v>
      </c>
      <c r="S787" s="88">
        <f t="shared" si="334"/>
        <v>-67262.969999999972</v>
      </c>
      <c r="T787" s="123">
        <f t="shared" si="341"/>
        <v>0.96665632046971051</v>
      </c>
      <c r="U787" s="88">
        <f t="shared" si="335"/>
        <v>266724.98</v>
      </c>
      <c r="V787" s="123">
        <f t="shared" si="336"/>
        <v>1.1523674330541092</v>
      </c>
      <c r="W787" s="157">
        <f t="shared" si="342"/>
        <v>11</v>
      </c>
    </row>
    <row r="788" spans="1:23" ht="11.25" customHeight="1" x14ac:dyDescent="0.25">
      <c r="A788" s="42" t="s">
        <v>1606</v>
      </c>
      <c r="B788" s="282">
        <f t="shared" si="340"/>
        <v>11</v>
      </c>
      <c r="C788" s="20" t="s">
        <v>916</v>
      </c>
      <c r="D788" s="20" t="s">
        <v>919</v>
      </c>
      <c r="E788" s="20" t="s">
        <v>1089</v>
      </c>
      <c r="F788" s="373" t="s">
        <v>844</v>
      </c>
      <c r="G788" s="374"/>
      <c r="H788" s="11">
        <v>1184571.1100000001</v>
      </c>
      <c r="I788" s="11">
        <v>1536035.57</v>
      </c>
      <c r="J788" s="336">
        <v>1799999.99999999</v>
      </c>
      <c r="K788" s="130">
        <v>1168447.8400000001</v>
      </c>
      <c r="L788" s="142">
        <v>1500000</v>
      </c>
      <c r="O788" s="88">
        <f t="shared" si="332"/>
        <v>-299999.99999998999</v>
      </c>
      <c r="P788" s="123">
        <f t="shared" si="338"/>
        <v>0.83333333333333792</v>
      </c>
      <c r="Q788" s="88">
        <f t="shared" si="333"/>
        <v>-36035.570000000065</v>
      </c>
      <c r="R788" s="123">
        <f t="shared" si="339"/>
        <v>0.97653988572673478</v>
      </c>
      <c r="S788" s="88">
        <f t="shared" si="334"/>
        <v>331552.15999999992</v>
      </c>
      <c r="T788" s="123">
        <f t="shared" si="341"/>
        <v>1.2837543522695887</v>
      </c>
      <c r="U788" s="88">
        <f t="shared" si="335"/>
        <v>-367587.73</v>
      </c>
      <c r="V788" s="123">
        <f t="shared" si="336"/>
        <v>0.76069061343416677</v>
      </c>
      <c r="W788" s="157">
        <f t="shared" si="342"/>
        <v>11</v>
      </c>
    </row>
    <row r="789" spans="1:23" ht="11.25" customHeight="1" x14ac:dyDescent="0.25">
      <c r="A789" s="42" t="s">
        <v>1607</v>
      </c>
      <c r="B789" s="282">
        <f t="shared" si="340"/>
        <v>11</v>
      </c>
      <c r="C789" s="20" t="s">
        <v>916</v>
      </c>
      <c r="D789" s="20" t="s">
        <v>919</v>
      </c>
      <c r="E789" s="20" t="s">
        <v>1649</v>
      </c>
      <c r="F789" s="373" t="s">
        <v>845</v>
      </c>
      <c r="G789" s="374"/>
      <c r="H789" s="11">
        <v>663134.14</v>
      </c>
      <c r="I789" s="11">
        <v>893514.08</v>
      </c>
      <c r="J789" s="336">
        <v>989999.99999997194</v>
      </c>
      <c r="K789" s="130">
        <v>813843.91</v>
      </c>
      <c r="L789" s="142">
        <v>990000</v>
      </c>
      <c r="O789" s="88">
        <f t="shared" si="332"/>
        <v>2.805609256029129E-8</v>
      </c>
      <c r="P789" s="123">
        <f t="shared" si="338"/>
        <v>1.0000000000000284</v>
      </c>
      <c r="Q789" s="88">
        <f t="shared" si="333"/>
        <v>96485.920000000042</v>
      </c>
      <c r="R789" s="123">
        <f t="shared" si="339"/>
        <v>1.1079847784827297</v>
      </c>
      <c r="S789" s="88">
        <f t="shared" si="334"/>
        <v>176156.08999999997</v>
      </c>
      <c r="T789" s="123">
        <f t="shared" si="341"/>
        <v>1.2164494786229954</v>
      </c>
      <c r="U789" s="88">
        <f t="shared" si="335"/>
        <v>-79670.169999999925</v>
      </c>
      <c r="V789" s="123">
        <f t="shared" si="336"/>
        <v>0.9108350144857259</v>
      </c>
      <c r="W789" s="157">
        <f t="shared" si="342"/>
        <v>11</v>
      </c>
    </row>
    <row r="790" spans="1:23" ht="11.25" customHeight="1" x14ac:dyDescent="0.25">
      <c r="A790" s="42" t="s">
        <v>1608</v>
      </c>
      <c r="B790" s="282">
        <f t="shared" si="340"/>
        <v>11</v>
      </c>
      <c r="C790" s="28" t="s">
        <v>916</v>
      </c>
      <c r="D790" s="20" t="s">
        <v>919</v>
      </c>
      <c r="E790" s="28" t="s">
        <v>1089</v>
      </c>
      <c r="F790" s="373" t="s">
        <v>846</v>
      </c>
      <c r="G790" s="374"/>
      <c r="H790" s="11">
        <v>191790.41</v>
      </c>
      <c r="I790" s="11">
        <v>206487.92</v>
      </c>
      <c r="J790" s="336">
        <v>199999.99999998501</v>
      </c>
      <c r="K790" s="130">
        <v>178340.08</v>
      </c>
      <c r="L790" s="142">
        <v>200000</v>
      </c>
      <c r="O790" s="88">
        <f t="shared" si="332"/>
        <v>1.4988472685217857E-8</v>
      </c>
      <c r="P790" s="123">
        <f t="shared" si="338"/>
        <v>1.0000000000000751</v>
      </c>
      <c r="Q790" s="88">
        <f t="shared" si="333"/>
        <v>-6487.9200000000128</v>
      </c>
      <c r="R790" s="123">
        <f t="shared" si="339"/>
        <v>0.96857966315898769</v>
      </c>
      <c r="S790" s="88">
        <f t="shared" si="334"/>
        <v>21659.920000000013</v>
      </c>
      <c r="T790" s="123">
        <f t="shared" si="341"/>
        <v>1.121452900548211</v>
      </c>
      <c r="U790" s="88">
        <f t="shared" si="335"/>
        <v>-28147.840000000026</v>
      </c>
      <c r="V790" s="123">
        <f t="shared" si="336"/>
        <v>0.86368287307073444</v>
      </c>
      <c r="W790" s="157">
        <f t="shared" si="342"/>
        <v>11</v>
      </c>
    </row>
    <row r="791" spans="1:23" ht="11.25" customHeight="1" x14ac:dyDescent="0.25">
      <c r="A791" s="42" t="s">
        <v>1609</v>
      </c>
      <c r="B791" s="282">
        <f t="shared" si="340"/>
        <v>11</v>
      </c>
      <c r="C791" s="28" t="s">
        <v>916</v>
      </c>
      <c r="D791" s="20" t="s">
        <v>919</v>
      </c>
      <c r="E791" s="28" t="s">
        <v>917</v>
      </c>
      <c r="F791" s="373" t="s">
        <v>847</v>
      </c>
      <c r="G791" s="374"/>
      <c r="H791" s="11">
        <v>12797.14</v>
      </c>
      <c r="I791" s="11">
        <v>843328.71</v>
      </c>
      <c r="J791" s="336">
        <v>819999.99999997602</v>
      </c>
      <c r="K791" s="130">
        <v>1082319.3500000001</v>
      </c>
      <c r="L791" s="142">
        <v>1110000</v>
      </c>
      <c r="O791" s="88">
        <f t="shared" si="332"/>
        <v>290000.00000002398</v>
      </c>
      <c r="P791" s="123">
        <f t="shared" si="338"/>
        <v>1.3536585365854055</v>
      </c>
      <c r="Q791" s="88">
        <f t="shared" si="333"/>
        <v>266671.29000000004</v>
      </c>
      <c r="R791" s="123">
        <f t="shared" si="339"/>
        <v>1.3162127493560607</v>
      </c>
      <c r="S791" s="88">
        <f t="shared" si="334"/>
        <v>27680.649999999907</v>
      </c>
      <c r="T791" s="123">
        <f t="shared" si="341"/>
        <v>1.0255753073249589</v>
      </c>
      <c r="U791" s="88">
        <f t="shared" si="335"/>
        <v>238990.64000000013</v>
      </c>
      <c r="V791" s="123">
        <f t="shared" si="336"/>
        <v>1.2833896642745628</v>
      </c>
      <c r="W791" s="157">
        <f t="shared" si="342"/>
        <v>11</v>
      </c>
    </row>
    <row r="792" spans="1:23" ht="11.25" customHeight="1" x14ac:dyDescent="0.25">
      <c r="A792" s="55" t="s">
        <v>1610</v>
      </c>
      <c r="B792" s="282">
        <f t="shared" si="340"/>
        <v>7</v>
      </c>
      <c r="C792" s="55"/>
      <c r="D792" s="53"/>
      <c r="E792" s="53"/>
      <c r="F792" s="381" t="s">
        <v>848</v>
      </c>
      <c r="G792" s="382"/>
      <c r="H792" s="54">
        <f t="shared" ref="H792:L792" si="344">SUM(H793)</f>
        <v>917943.75</v>
      </c>
      <c r="I792" s="54">
        <f t="shared" si="344"/>
        <v>1544230.4</v>
      </c>
      <c r="J792" s="136">
        <f t="shared" si="344"/>
        <v>999999.99999999604</v>
      </c>
      <c r="K792" s="136">
        <f t="shared" si="344"/>
        <v>2505753.42</v>
      </c>
      <c r="L792" s="153">
        <f t="shared" si="344"/>
        <v>1500000</v>
      </c>
      <c r="O792" s="88">
        <f t="shared" si="332"/>
        <v>500000.00000000396</v>
      </c>
      <c r="P792" s="123">
        <f t="shared" si="338"/>
        <v>1.500000000000006</v>
      </c>
      <c r="Q792" s="88">
        <f t="shared" si="333"/>
        <v>-44230.399999999907</v>
      </c>
      <c r="R792" s="123">
        <f t="shared" si="339"/>
        <v>0.97135764196845242</v>
      </c>
      <c r="S792" s="88">
        <f t="shared" si="334"/>
        <v>-1005753.4199999999</v>
      </c>
      <c r="T792" s="123">
        <f t="shared" si="341"/>
        <v>0.59862234968036088</v>
      </c>
      <c r="U792" s="88">
        <f t="shared" si="335"/>
        <v>961523.02</v>
      </c>
      <c r="V792" s="123">
        <f t="shared" si="336"/>
        <v>1.6226551556037234</v>
      </c>
      <c r="W792" s="157">
        <f t="shared" si="342"/>
        <v>7</v>
      </c>
    </row>
    <row r="793" spans="1:23" ht="11.25" customHeight="1" x14ac:dyDescent="0.25">
      <c r="A793" s="42" t="s">
        <v>1611</v>
      </c>
      <c r="B793" s="282">
        <f t="shared" si="340"/>
        <v>11</v>
      </c>
      <c r="C793" s="27" t="s">
        <v>916</v>
      </c>
      <c r="D793" s="28" t="s">
        <v>920</v>
      </c>
      <c r="E793" s="28" t="s">
        <v>917</v>
      </c>
      <c r="F793" s="373" t="s">
        <v>150</v>
      </c>
      <c r="G793" s="374"/>
      <c r="H793" s="11">
        <v>917943.75</v>
      </c>
      <c r="I793" s="11">
        <v>1544230.4</v>
      </c>
      <c r="J793" s="336">
        <v>999999.99999999604</v>
      </c>
      <c r="K793" s="130">
        <v>2505753.42</v>
      </c>
      <c r="L793" s="142">
        <v>1500000</v>
      </c>
      <c r="O793" s="88">
        <f t="shared" si="332"/>
        <v>500000.00000000396</v>
      </c>
      <c r="P793" s="123">
        <f t="shared" si="338"/>
        <v>1.500000000000006</v>
      </c>
      <c r="Q793" s="88">
        <f t="shared" si="333"/>
        <v>-44230.399999999907</v>
      </c>
      <c r="R793" s="123">
        <f t="shared" si="339"/>
        <v>0.97135764196845242</v>
      </c>
      <c r="S793" s="88">
        <f t="shared" si="334"/>
        <v>-1005753.4199999999</v>
      </c>
      <c r="T793" s="123">
        <f t="shared" si="341"/>
        <v>0.59862234968036088</v>
      </c>
      <c r="U793" s="88">
        <f t="shared" si="335"/>
        <v>961523.02</v>
      </c>
      <c r="V793" s="123">
        <f t="shared" si="336"/>
        <v>1.6226551556037234</v>
      </c>
      <c r="W793" s="157">
        <f t="shared" si="342"/>
        <v>11</v>
      </c>
    </row>
    <row r="794" spans="1:23" ht="11.25" customHeight="1" x14ac:dyDescent="0.25">
      <c r="A794" s="58" t="s">
        <v>849</v>
      </c>
      <c r="B794" s="282">
        <f t="shared" si="340"/>
        <v>3</v>
      </c>
      <c r="C794" s="58"/>
      <c r="D794" s="59"/>
      <c r="E794" s="59"/>
      <c r="F794" s="397" t="s">
        <v>850</v>
      </c>
      <c r="G794" s="398"/>
      <c r="H794" s="61">
        <f>H795+H796</f>
        <v>0</v>
      </c>
      <c r="I794" s="61">
        <f>I795+I796</f>
        <v>0</v>
      </c>
      <c r="J794" s="134">
        <f>J795+J796</f>
        <v>0</v>
      </c>
      <c r="K794" s="134">
        <f t="shared" ref="K794:L794" si="345">K795+K796</f>
        <v>0</v>
      </c>
      <c r="L794" s="151">
        <f t="shared" si="345"/>
        <v>0</v>
      </c>
      <c r="O794" s="88">
        <f t="shared" si="332"/>
        <v>0</v>
      </c>
      <c r="P794" s="123" t="str">
        <f t="shared" si="338"/>
        <v/>
      </c>
      <c r="Q794" s="88">
        <f t="shared" si="333"/>
        <v>0</v>
      </c>
      <c r="R794" s="123" t="str">
        <f t="shared" si="339"/>
        <v/>
      </c>
      <c r="S794" s="88">
        <f t="shared" si="334"/>
        <v>0</v>
      </c>
      <c r="T794" s="123" t="str">
        <f t="shared" si="341"/>
        <v/>
      </c>
      <c r="U794" s="88">
        <f t="shared" si="335"/>
        <v>0</v>
      </c>
      <c r="V794" s="123" t="str">
        <f t="shared" si="336"/>
        <v/>
      </c>
      <c r="W794" s="157">
        <f t="shared" si="342"/>
        <v>3</v>
      </c>
    </row>
    <row r="795" spans="1:23" ht="11.25" customHeight="1" x14ac:dyDescent="0.25">
      <c r="A795" s="51" t="s">
        <v>851</v>
      </c>
      <c r="B795" s="282">
        <f t="shared" si="340"/>
        <v>4</v>
      </c>
      <c r="C795" s="51"/>
      <c r="D795" s="49"/>
      <c r="E795" s="49"/>
      <c r="F795" s="395" t="s">
        <v>852</v>
      </c>
      <c r="G795" s="396"/>
      <c r="H795" s="50">
        <v>0</v>
      </c>
      <c r="I795" s="50">
        <v>0</v>
      </c>
      <c r="J795" s="135">
        <v>0</v>
      </c>
      <c r="K795" s="135">
        <v>0</v>
      </c>
      <c r="L795" s="152">
        <v>0</v>
      </c>
      <c r="O795" s="178">
        <f t="shared" si="332"/>
        <v>0</v>
      </c>
      <c r="P795" s="179" t="str">
        <f t="shared" si="338"/>
        <v/>
      </c>
      <c r="Q795" s="178">
        <f t="shared" si="333"/>
        <v>0</v>
      </c>
      <c r="R795" s="179" t="str">
        <f t="shared" si="339"/>
        <v/>
      </c>
      <c r="S795" s="178">
        <f t="shared" si="334"/>
        <v>0</v>
      </c>
      <c r="T795" s="179" t="str">
        <f t="shared" si="341"/>
        <v/>
      </c>
      <c r="U795" s="178">
        <f t="shared" si="335"/>
        <v>0</v>
      </c>
      <c r="V795" s="179" t="str">
        <f t="shared" si="336"/>
        <v/>
      </c>
      <c r="W795" s="157">
        <f t="shared" si="342"/>
        <v>4</v>
      </c>
    </row>
    <row r="796" spans="1:23" ht="11.25" customHeight="1" x14ac:dyDescent="0.25">
      <c r="A796" s="51" t="s">
        <v>853</v>
      </c>
      <c r="B796" s="282">
        <f t="shared" si="340"/>
        <v>4</v>
      </c>
      <c r="C796" s="51"/>
      <c r="D796" s="49"/>
      <c r="E796" s="49"/>
      <c r="F796" s="395" t="s">
        <v>854</v>
      </c>
      <c r="G796" s="396"/>
      <c r="H796" s="50">
        <v>0</v>
      </c>
      <c r="I796" s="50">
        <v>0</v>
      </c>
      <c r="J796" s="135">
        <v>0</v>
      </c>
      <c r="K796" s="135">
        <v>0</v>
      </c>
      <c r="L796" s="152">
        <v>0</v>
      </c>
      <c r="O796" s="178">
        <f t="shared" si="332"/>
        <v>0</v>
      </c>
      <c r="P796" s="179" t="str">
        <f t="shared" si="338"/>
        <v/>
      </c>
      <c r="Q796" s="178">
        <f t="shared" si="333"/>
        <v>0</v>
      </c>
      <c r="R796" s="179" t="str">
        <f t="shared" si="339"/>
        <v/>
      </c>
      <c r="S796" s="178">
        <f t="shared" si="334"/>
        <v>0</v>
      </c>
      <c r="T796" s="179" t="str">
        <f t="shared" si="341"/>
        <v/>
      </c>
      <c r="U796" s="178">
        <f t="shared" si="335"/>
        <v>0</v>
      </c>
      <c r="V796" s="179" t="str">
        <f t="shared" si="336"/>
        <v/>
      </c>
      <c r="W796" s="157">
        <f t="shared" si="342"/>
        <v>4</v>
      </c>
    </row>
    <row r="797" spans="1:23" ht="11.25" customHeight="1" x14ac:dyDescent="0.25">
      <c r="A797" s="58" t="s">
        <v>855</v>
      </c>
      <c r="B797" s="282">
        <f t="shared" si="340"/>
        <v>3</v>
      </c>
      <c r="C797" s="58"/>
      <c r="D797" s="59"/>
      <c r="E797" s="59"/>
      <c r="F797" s="397" t="s">
        <v>856</v>
      </c>
      <c r="G797" s="398"/>
      <c r="H797" s="61">
        <f t="shared" ref="H797:L797" si="346">H798+H799+H802+H805+H808+H809+H810+H811+H812</f>
        <v>240737.26</v>
      </c>
      <c r="I797" s="61">
        <f t="shared" si="346"/>
        <v>144229.16999999998</v>
      </c>
      <c r="J797" s="134">
        <f t="shared" si="346"/>
        <v>0</v>
      </c>
      <c r="K797" s="134">
        <f t="shared" si="346"/>
        <v>87988.07</v>
      </c>
      <c r="L797" s="151">
        <f t="shared" si="346"/>
        <v>80000</v>
      </c>
      <c r="O797" s="88">
        <f t="shared" si="332"/>
        <v>80000</v>
      </c>
      <c r="P797" s="123" t="str">
        <f t="shared" si="338"/>
        <v/>
      </c>
      <c r="Q797" s="88">
        <f t="shared" si="333"/>
        <v>-64229.169999999984</v>
      </c>
      <c r="R797" s="123">
        <f t="shared" si="339"/>
        <v>0.55467281687886028</v>
      </c>
      <c r="S797" s="88">
        <f t="shared" si="334"/>
        <v>-7988.070000000007</v>
      </c>
      <c r="T797" s="123">
        <f t="shared" si="341"/>
        <v>0.90921416960276535</v>
      </c>
      <c r="U797" s="88">
        <f t="shared" si="335"/>
        <v>-56241.099999999977</v>
      </c>
      <c r="V797" s="123">
        <f t="shared" si="336"/>
        <v>0.61005738298292933</v>
      </c>
      <c r="W797" s="157">
        <f t="shared" si="342"/>
        <v>3</v>
      </c>
    </row>
    <row r="798" spans="1:23" ht="11.25" customHeight="1" x14ac:dyDescent="0.25">
      <c r="A798" s="51" t="s">
        <v>857</v>
      </c>
      <c r="B798" s="282">
        <f t="shared" si="340"/>
        <v>4</v>
      </c>
      <c r="C798" s="51"/>
      <c r="D798" s="49"/>
      <c r="E798" s="49"/>
      <c r="F798" s="395" t="s">
        <v>858</v>
      </c>
      <c r="G798" s="396"/>
      <c r="H798" s="50">
        <v>0</v>
      </c>
      <c r="I798" s="50">
        <v>0</v>
      </c>
      <c r="J798" s="135">
        <v>0</v>
      </c>
      <c r="K798" s="135">
        <v>0</v>
      </c>
      <c r="L798" s="152">
        <v>0</v>
      </c>
      <c r="O798" s="178">
        <f t="shared" si="332"/>
        <v>0</v>
      </c>
      <c r="P798" s="179" t="str">
        <f t="shared" si="338"/>
        <v/>
      </c>
      <c r="Q798" s="178">
        <f t="shared" si="333"/>
        <v>0</v>
      </c>
      <c r="R798" s="179" t="str">
        <f t="shared" si="339"/>
        <v/>
      </c>
      <c r="S798" s="178">
        <f t="shared" si="334"/>
        <v>0</v>
      </c>
      <c r="T798" s="179" t="str">
        <f t="shared" si="341"/>
        <v/>
      </c>
      <c r="U798" s="178">
        <f t="shared" si="335"/>
        <v>0</v>
      </c>
      <c r="V798" s="179" t="str">
        <f t="shared" si="336"/>
        <v/>
      </c>
      <c r="W798" s="157">
        <f t="shared" si="342"/>
        <v>4</v>
      </c>
    </row>
    <row r="799" spans="1:23" ht="11.25" customHeight="1" x14ac:dyDescent="0.25">
      <c r="A799" s="51" t="s">
        <v>859</v>
      </c>
      <c r="B799" s="282">
        <f t="shared" si="340"/>
        <v>4</v>
      </c>
      <c r="C799" s="51"/>
      <c r="D799" s="49"/>
      <c r="E799" s="49"/>
      <c r="F799" s="395" t="s">
        <v>595</v>
      </c>
      <c r="G799" s="396"/>
      <c r="H799" s="50">
        <f>H800</f>
        <v>27347.48</v>
      </c>
      <c r="I799" s="50">
        <f>I800</f>
        <v>461.64</v>
      </c>
      <c r="J799" s="135">
        <f t="shared" ref="J799:L799" si="347">J800</f>
        <v>0</v>
      </c>
      <c r="K799" s="346">
        <f t="shared" si="347"/>
        <v>506.82</v>
      </c>
      <c r="L799" s="152">
        <f t="shared" si="347"/>
        <v>0</v>
      </c>
      <c r="O799" s="178">
        <f t="shared" si="332"/>
        <v>0</v>
      </c>
      <c r="P799" s="179" t="str">
        <f t="shared" si="338"/>
        <v/>
      </c>
      <c r="Q799" s="178">
        <f t="shared" si="333"/>
        <v>-461.64</v>
      </c>
      <c r="R799" s="179">
        <f t="shared" si="339"/>
        <v>0</v>
      </c>
      <c r="S799" s="178">
        <f t="shared" si="334"/>
        <v>-506.82</v>
      </c>
      <c r="T799" s="179">
        <f t="shared" si="341"/>
        <v>0</v>
      </c>
      <c r="U799" s="178">
        <f t="shared" si="335"/>
        <v>45.180000000000007</v>
      </c>
      <c r="V799" s="179">
        <f t="shared" si="336"/>
        <v>1.0978684689368339</v>
      </c>
      <c r="W799" s="157">
        <f t="shared" si="342"/>
        <v>4</v>
      </c>
    </row>
    <row r="800" spans="1:23" ht="11.25" customHeight="1" x14ac:dyDescent="0.25">
      <c r="A800" s="55" t="s">
        <v>1612</v>
      </c>
      <c r="B800" s="282">
        <f t="shared" si="340"/>
        <v>7</v>
      </c>
      <c r="C800" s="55"/>
      <c r="D800" s="53"/>
      <c r="E800" s="53"/>
      <c r="F800" s="381" t="s">
        <v>860</v>
      </c>
      <c r="G800" s="382"/>
      <c r="H800" s="54">
        <f t="shared" ref="H800:L800" si="348">SUM(H801)</f>
        <v>27347.48</v>
      </c>
      <c r="I800" s="54">
        <f t="shared" si="348"/>
        <v>461.64</v>
      </c>
      <c r="J800" s="136">
        <f t="shared" si="348"/>
        <v>0</v>
      </c>
      <c r="K800" s="136">
        <f t="shared" si="348"/>
        <v>506.82</v>
      </c>
      <c r="L800" s="153">
        <f t="shared" si="348"/>
        <v>0</v>
      </c>
      <c r="O800" s="88">
        <f t="shared" si="332"/>
        <v>0</v>
      </c>
      <c r="P800" s="123" t="str">
        <f t="shared" si="338"/>
        <v/>
      </c>
      <c r="Q800" s="88">
        <f t="shared" si="333"/>
        <v>-461.64</v>
      </c>
      <c r="R800" s="123">
        <f t="shared" si="339"/>
        <v>0</v>
      </c>
      <c r="S800" s="88">
        <f t="shared" si="334"/>
        <v>-506.82</v>
      </c>
      <c r="T800" s="123">
        <f t="shared" si="341"/>
        <v>0</v>
      </c>
      <c r="U800" s="88">
        <f t="shared" si="335"/>
        <v>45.180000000000007</v>
      </c>
      <c r="V800" s="123">
        <f t="shared" si="336"/>
        <v>1.0978684689368339</v>
      </c>
      <c r="W800" s="157">
        <f t="shared" si="342"/>
        <v>7</v>
      </c>
    </row>
    <row r="801" spans="1:23" ht="11.25" customHeight="1" x14ac:dyDescent="0.25">
      <c r="A801" s="42" t="s">
        <v>1613</v>
      </c>
      <c r="B801" s="282">
        <f t="shared" si="340"/>
        <v>11</v>
      </c>
      <c r="C801" s="27" t="s">
        <v>916</v>
      </c>
      <c r="D801" s="28" t="s">
        <v>923</v>
      </c>
      <c r="E801" s="28" t="s">
        <v>1643</v>
      </c>
      <c r="F801" s="373" t="s">
        <v>861</v>
      </c>
      <c r="G801" s="374"/>
      <c r="H801" s="11">
        <v>27347.48</v>
      </c>
      <c r="I801" s="11">
        <v>461.64</v>
      </c>
      <c r="J801" s="336">
        <v>0</v>
      </c>
      <c r="K801" s="130">
        <v>506.82</v>
      </c>
      <c r="L801" s="142">
        <v>0</v>
      </c>
      <c r="O801" s="88">
        <f t="shared" si="332"/>
        <v>0</v>
      </c>
      <c r="P801" s="123" t="str">
        <f t="shared" si="338"/>
        <v/>
      </c>
      <c r="Q801" s="88">
        <f t="shared" si="333"/>
        <v>-461.64</v>
      </c>
      <c r="R801" s="123">
        <f t="shared" si="339"/>
        <v>0</v>
      </c>
      <c r="S801" s="88">
        <f t="shared" si="334"/>
        <v>-506.82</v>
      </c>
      <c r="T801" s="123">
        <f t="shared" si="341"/>
        <v>0</v>
      </c>
      <c r="U801" s="88">
        <f t="shared" si="335"/>
        <v>45.180000000000007</v>
      </c>
      <c r="V801" s="123">
        <f t="shared" si="336"/>
        <v>1.0978684689368339</v>
      </c>
      <c r="W801" s="157">
        <f t="shared" si="342"/>
        <v>11</v>
      </c>
    </row>
    <row r="802" spans="1:23" ht="11.25" customHeight="1" x14ac:dyDescent="0.25">
      <c r="A802" s="51" t="s">
        <v>862</v>
      </c>
      <c r="B802" s="282">
        <f t="shared" si="340"/>
        <v>4</v>
      </c>
      <c r="C802" s="51"/>
      <c r="D802" s="49"/>
      <c r="E802" s="49"/>
      <c r="F802" s="395" t="s">
        <v>863</v>
      </c>
      <c r="G802" s="396"/>
      <c r="H802" s="50">
        <f t="shared" ref="H802:L802" si="349">H803</f>
        <v>186789.78</v>
      </c>
      <c r="I802" s="50">
        <f t="shared" si="349"/>
        <v>78567.53</v>
      </c>
      <c r="J802" s="135">
        <f t="shared" si="349"/>
        <v>0</v>
      </c>
      <c r="K802" s="346">
        <f t="shared" si="349"/>
        <v>87481.25</v>
      </c>
      <c r="L802" s="152">
        <f t="shared" si="349"/>
        <v>80000</v>
      </c>
      <c r="O802" s="178">
        <f t="shared" si="332"/>
        <v>80000</v>
      </c>
      <c r="P802" s="179" t="str">
        <f t="shared" si="338"/>
        <v/>
      </c>
      <c r="Q802" s="178">
        <f t="shared" si="333"/>
        <v>1432.4700000000012</v>
      </c>
      <c r="R802" s="179">
        <f t="shared" si="339"/>
        <v>1.018232341019248</v>
      </c>
      <c r="S802" s="178">
        <f t="shared" si="334"/>
        <v>-7481.25</v>
      </c>
      <c r="T802" s="179">
        <f t="shared" si="341"/>
        <v>0.91448167464456664</v>
      </c>
      <c r="U802" s="178">
        <f t="shared" si="335"/>
        <v>8913.7200000000012</v>
      </c>
      <c r="V802" s="179">
        <f t="shared" si="336"/>
        <v>1.1134529747848763</v>
      </c>
      <c r="W802" s="157">
        <f t="shared" si="342"/>
        <v>4</v>
      </c>
    </row>
    <row r="803" spans="1:23" ht="11.25" customHeight="1" x14ac:dyDescent="0.25">
      <c r="A803" s="55" t="s">
        <v>1614</v>
      </c>
      <c r="B803" s="282">
        <f t="shared" si="340"/>
        <v>7</v>
      </c>
      <c r="C803" s="55"/>
      <c r="D803" s="53"/>
      <c r="E803" s="53"/>
      <c r="F803" s="381" t="s">
        <v>864</v>
      </c>
      <c r="G803" s="382"/>
      <c r="H803" s="54">
        <f t="shared" ref="H803:L803" si="350">SUM(H804)</f>
        <v>186789.78</v>
      </c>
      <c r="I803" s="54">
        <f t="shared" si="350"/>
        <v>78567.53</v>
      </c>
      <c r="J803" s="136">
        <f t="shared" si="350"/>
        <v>0</v>
      </c>
      <c r="K803" s="136">
        <f t="shared" si="350"/>
        <v>87481.25</v>
      </c>
      <c r="L803" s="153">
        <f t="shared" si="350"/>
        <v>80000</v>
      </c>
      <c r="O803" s="88">
        <f t="shared" si="332"/>
        <v>80000</v>
      </c>
      <c r="P803" s="123" t="str">
        <f t="shared" si="338"/>
        <v/>
      </c>
      <c r="Q803" s="88">
        <f t="shared" si="333"/>
        <v>1432.4700000000012</v>
      </c>
      <c r="R803" s="123">
        <f t="shared" si="339"/>
        <v>1.018232341019248</v>
      </c>
      <c r="S803" s="88">
        <f t="shared" si="334"/>
        <v>-7481.25</v>
      </c>
      <c r="T803" s="123">
        <f t="shared" si="341"/>
        <v>0.91448167464456664</v>
      </c>
      <c r="U803" s="88">
        <f t="shared" si="335"/>
        <v>8913.7200000000012</v>
      </c>
      <c r="V803" s="123">
        <f t="shared" si="336"/>
        <v>1.1134529747848763</v>
      </c>
      <c r="W803" s="157">
        <f t="shared" si="342"/>
        <v>7</v>
      </c>
    </row>
    <row r="804" spans="1:23" ht="11.25" customHeight="1" x14ac:dyDescent="0.25">
      <c r="A804" s="42" t="s">
        <v>1615</v>
      </c>
      <c r="B804" s="282">
        <f t="shared" si="340"/>
        <v>11</v>
      </c>
      <c r="C804" s="27" t="s">
        <v>916</v>
      </c>
      <c r="D804" s="28" t="s">
        <v>923</v>
      </c>
      <c r="E804" s="28" t="s">
        <v>1643</v>
      </c>
      <c r="F804" s="373" t="s">
        <v>865</v>
      </c>
      <c r="G804" s="374"/>
      <c r="H804" s="11">
        <v>186789.78</v>
      </c>
      <c r="I804" s="11">
        <v>78567.53</v>
      </c>
      <c r="J804" s="336">
        <v>0</v>
      </c>
      <c r="K804" s="130">
        <v>87481.25</v>
      </c>
      <c r="L804" s="142">
        <v>80000</v>
      </c>
      <c r="O804" s="88">
        <f t="shared" si="332"/>
        <v>80000</v>
      </c>
      <c r="P804" s="123" t="str">
        <f t="shared" si="338"/>
        <v/>
      </c>
      <c r="Q804" s="88">
        <f t="shared" si="333"/>
        <v>1432.4700000000012</v>
      </c>
      <c r="R804" s="123">
        <f t="shared" si="339"/>
        <v>1.018232341019248</v>
      </c>
      <c r="S804" s="88">
        <f t="shared" si="334"/>
        <v>-7481.25</v>
      </c>
      <c r="T804" s="123">
        <f t="shared" si="341"/>
        <v>0.91448167464456664</v>
      </c>
      <c r="U804" s="88">
        <f t="shared" si="335"/>
        <v>8913.7200000000012</v>
      </c>
      <c r="V804" s="123">
        <f t="shared" si="336"/>
        <v>1.1134529747848763</v>
      </c>
      <c r="W804" s="157">
        <f t="shared" si="342"/>
        <v>11</v>
      </c>
    </row>
    <row r="805" spans="1:23" ht="11.25" customHeight="1" x14ac:dyDescent="0.25">
      <c r="A805" s="51" t="s">
        <v>866</v>
      </c>
      <c r="B805" s="282">
        <f t="shared" si="340"/>
        <v>4</v>
      </c>
      <c r="C805" s="51"/>
      <c r="D805" s="49"/>
      <c r="E805" s="49"/>
      <c r="F805" s="395" t="s">
        <v>1949</v>
      </c>
      <c r="G805" s="396"/>
      <c r="H805" s="50">
        <f>H806</f>
        <v>26600</v>
      </c>
      <c r="I805" s="50">
        <f>I806</f>
        <v>65200</v>
      </c>
      <c r="J805" s="135">
        <f>J806</f>
        <v>0</v>
      </c>
      <c r="K805" s="135">
        <f t="shared" ref="K805:L805" si="351">K806</f>
        <v>0</v>
      </c>
      <c r="L805" s="152">
        <f t="shared" si="351"/>
        <v>0</v>
      </c>
      <c r="O805" s="178">
        <f t="shared" si="332"/>
        <v>0</v>
      </c>
      <c r="P805" s="179" t="str">
        <f t="shared" si="338"/>
        <v/>
      </c>
      <c r="Q805" s="178">
        <f t="shared" si="333"/>
        <v>-65200</v>
      </c>
      <c r="R805" s="179">
        <f t="shared" si="339"/>
        <v>0</v>
      </c>
      <c r="S805" s="178">
        <f t="shared" si="334"/>
        <v>0</v>
      </c>
      <c r="T805" s="179" t="str">
        <f t="shared" si="341"/>
        <v/>
      </c>
      <c r="U805" s="178">
        <f t="shared" si="335"/>
        <v>-65200</v>
      </c>
      <c r="V805" s="179">
        <f t="shared" si="336"/>
        <v>0</v>
      </c>
      <c r="W805" s="157">
        <f t="shared" si="342"/>
        <v>4</v>
      </c>
    </row>
    <row r="806" spans="1:23" ht="11.25" customHeight="1" x14ac:dyDescent="0.25">
      <c r="A806" s="55" t="s">
        <v>1616</v>
      </c>
      <c r="B806" s="282">
        <f t="shared" si="340"/>
        <v>7</v>
      </c>
      <c r="C806" s="55"/>
      <c r="D806" s="53"/>
      <c r="E806" s="53"/>
      <c r="F806" s="381" t="s">
        <v>868</v>
      </c>
      <c r="G806" s="382"/>
      <c r="H806" s="54">
        <f>SUM(H807)</f>
        <v>26600</v>
      </c>
      <c r="I806" s="54">
        <f>SUM(I807)</f>
        <v>65200</v>
      </c>
      <c r="J806" s="136">
        <f>SUM(J807)</f>
        <v>0</v>
      </c>
      <c r="K806" s="136">
        <f t="shared" ref="K806:L806" si="352">SUM(K807)</f>
        <v>0</v>
      </c>
      <c r="L806" s="153">
        <f t="shared" si="352"/>
        <v>0</v>
      </c>
      <c r="O806" s="88">
        <f t="shared" si="332"/>
        <v>0</v>
      </c>
      <c r="P806" s="123" t="str">
        <f t="shared" si="338"/>
        <v/>
      </c>
      <c r="Q806" s="88">
        <f t="shared" si="333"/>
        <v>-65200</v>
      </c>
      <c r="R806" s="123">
        <f t="shared" si="339"/>
        <v>0</v>
      </c>
      <c r="S806" s="88">
        <f t="shared" si="334"/>
        <v>0</v>
      </c>
      <c r="T806" s="123" t="str">
        <f t="shared" si="341"/>
        <v/>
      </c>
      <c r="U806" s="88">
        <f t="shared" si="335"/>
        <v>-65200</v>
      </c>
      <c r="V806" s="123">
        <f t="shared" si="336"/>
        <v>0</v>
      </c>
      <c r="W806" s="157">
        <f t="shared" si="342"/>
        <v>7</v>
      </c>
    </row>
    <row r="807" spans="1:23" ht="11.25" customHeight="1" x14ac:dyDescent="0.25">
      <c r="A807" s="42" t="s">
        <v>1617</v>
      </c>
      <c r="B807" s="282">
        <f t="shared" si="340"/>
        <v>10</v>
      </c>
      <c r="C807" s="14"/>
      <c r="D807" s="13"/>
      <c r="E807" s="13"/>
      <c r="F807" s="373" t="s">
        <v>869</v>
      </c>
      <c r="G807" s="374"/>
      <c r="H807" s="11">
        <v>26600</v>
      </c>
      <c r="I807" s="11">
        <v>65200</v>
      </c>
      <c r="J807" s="336">
        <v>0</v>
      </c>
      <c r="K807" s="130">
        <v>0</v>
      </c>
      <c r="L807" s="141"/>
      <c r="O807" s="88">
        <f t="shared" si="332"/>
        <v>0</v>
      </c>
      <c r="P807" s="123" t="str">
        <f t="shared" si="338"/>
        <v/>
      </c>
      <c r="Q807" s="88">
        <f t="shared" si="333"/>
        <v>-65200</v>
      </c>
      <c r="R807" s="123">
        <f t="shared" si="339"/>
        <v>0</v>
      </c>
      <c r="S807" s="88">
        <f t="shared" si="334"/>
        <v>0</v>
      </c>
      <c r="T807" s="123" t="str">
        <f t="shared" si="341"/>
        <v/>
      </c>
      <c r="U807" s="88">
        <f t="shared" si="335"/>
        <v>-65200</v>
      </c>
      <c r="V807" s="123">
        <f t="shared" si="336"/>
        <v>0</v>
      </c>
      <c r="W807" s="157">
        <f t="shared" si="342"/>
        <v>10</v>
      </c>
    </row>
    <row r="808" spans="1:23" ht="11.25" customHeight="1" x14ac:dyDescent="0.25">
      <c r="A808" s="51" t="s">
        <v>870</v>
      </c>
      <c r="B808" s="282">
        <f t="shared" si="340"/>
        <v>4</v>
      </c>
      <c r="C808" s="51"/>
      <c r="D808" s="49"/>
      <c r="E808" s="49"/>
      <c r="F808" s="395" t="s">
        <v>871</v>
      </c>
      <c r="G808" s="396"/>
      <c r="H808" s="50">
        <v>0</v>
      </c>
      <c r="I808" s="50">
        <v>0</v>
      </c>
      <c r="J808" s="135">
        <v>0</v>
      </c>
      <c r="K808" s="135">
        <v>0</v>
      </c>
      <c r="L808" s="152">
        <v>0</v>
      </c>
      <c r="O808" s="178">
        <f t="shared" si="332"/>
        <v>0</v>
      </c>
      <c r="P808" s="179" t="str">
        <f t="shared" si="338"/>
        <v/>
      </c>
      <c r="Q808" s="178">
        <f t="shared" si="333"/>
        <v>0</v>
      </c>
      <c r="R808" s="179" t="str">
        <f t="shared" si="339"/>
        <v/>
      </c>
      <c r="S808" s="178">
        <f t="shared" si="334"/>
        <v>0</v>
      </c>
      <c r="T808" s="179" t="str">
        <f t="shared" si="341"/>
        <v/>
      </c>
      <c r="U808" s="178">
        <f t="shared" si="335"/>
        <v>0</v>
      </c>
      <c r="V808" s="179" t="str">
        <f t="shared" si="336"/>
        <v/>
      </c>
      <c r="W808" s="157">
        <f t="shared" si="342"/>
        <v>4</v>
      </c>
    </row>
    <row r="809" spans="1:23" ht="11.25" customHeight="1" x14ac:dyDescent="0.25">
      <c r="A809" s="51" t="s">
        <v>872</v>
      </c>
      <c r="B809" s="282">
        <f t="shared" si="340"/>
        <v>4</v>
      </c>
      <c r="C809" s="51"/>
      <c r="D809" s="49"/>
      <c r="E809" s="49"/>
      <c r="F809" s="395" t="s">
        <v>873</v>
      </c>
      <c r="G809" s="396"/>
      <c r="H809" s="50">
        <v>0</v>
      </c>
      <c r="I809" s="50">
        <v>0</v>
      </c>
      <c r="J809" s="135">
        <v>0</v>
      </c>
      <c r="K809" s="135">
        <v>0</v>
      </c>
      <c r="L809" s="152">
        <v>0</v>
      </c>
      <c r="O809" s="178">
        <f t="shared" ref="O809:O837" si="353">+L809-J809</f>
        <v>0</v>
      </c>
      <c r="P809" s="179" t="str">
        <f t="shared" si="338"/>
        <v/>
      </c>
      <c r="Q809" s="178">
        <f t="shared" ref="Q809:Q837" si="354">+L809-I809</f>
        <v>0</v>
      </c>
      <c r="R809" s="179" t="str">
        <f t="shared" si="339"/>
        <v/>
      </c>
      <c r="S809" s="178">
        <f t="shared" si="334"/>
        <v>0</v>
      </c>
      <c r="T809" s="179" t="str">
        <f t="shared" si="341"/>
        <v/>
      </c>
      <c r="U809" s="178">
        <f t="shared" si="335"/>
        <v>0</v>
      </c>
      <c r="V809" s="179" t="str">
        <f t="shared" si="336"/>
        <v/>
      </c>
      <c r="W809" s="157">
        <f t="shared" si="342"/>
        <v>4</v>
      </c>
    </row>
    <row r="810" spans="1:23" ht="11.25" customHeight="1" x14ac:dyDescent="0.25">
      <c r="A810" s="51" t="s">
        <v>874</v>
      </c>
      <c r="B810" s="282">
        <f t="shared" si="340"/>
        <v>4</v>
      </c>
      <c r="C810" s="51"/>
      <c r="D810" s="49"/>
      <c r="E810" s="49"/>
      <c r="F810" s="395" t="s">
        <v>875</v>
      </c>
      <c r="G810" s="396"/>
      <c r="H810" s="50">
        <v>0</v>
      </c>
      <c r="I810" s="50">
        <v>0</v>
      </c>
      <c r="J810" s="135">
        <v>0</v>
      </c>
      <c r="K810" s="135">
        <v>0</v>
      </c>
      <c r="L810" s="152">
        <v>0</v>
      </c>
      <c r="O810" s="178">
        <f t="shared" si="353"/>
        <v>0</v>
      </c>
      <c r="P810" s="179" t="str">
        <f t="shared" si="338"/>
        <v/>
      </c>
      <c r="Q810" s="178">
        <f t="shared" si="354"/>
        <v>0</v>
      </c>
      <c r="R810" s="179" t="str">
        <f t="shared" si="339"/>
        <v/>
      </c>
      <c r="S810" s="178">
        <f t="shared" si="334"/>
        <v>0</v>
      </c>
      <c r="T810" s="179" t="str">
        <f t="shared" si="341"/>
        <v/>
      </c>
      <c r="U810" s="178">
        <f t="shared" si="335"/>
        <v>0</v>
      </c>
      <c r="V810" s="179" t="str">
        <f t="shared" si="336"/>
        <v/>
      </c>
      <c r="W810" s="157">
        <f t="shared" si="342"/>
        <v>4</v>
      </c>
    </row>
    <row r="811" spans="1:23" ht="11.25" customHeight="1" x14ac:dyDescent="0.25">
      <c r="A811" s="51" t="s">
        <v>876</v>
      </c>
      <c r="B811" s="282">
        <f t="shared" si="340"/>
        <v>4</v>
      </c>
      <c r="C811" s="51"/>
      <c r="D811" s="49"/>
      <c r="E811" s="49"/>
      <c r="F811" s="395" t="s">
        <v>877</v>
      </c>
      <c r="G811" s="396"/>
      <c r="H811" s="50">
        <v>0</v>
      </c>
      <c r="I811" s="50">
        <v>0</v>
      </c>
      <c r="J811" s="135">
        <v>0</v>
      </c>
      <c r="K811" s="135">
        <v>0</v>
      </c>
      <c r="L811" s="152">
        <v>0</v>
      </c>
      <c r="O811" s="178">
        <f t="shared" si="353"/>
        <v>0</v>
      </c>
      <c r="P811" s="179" t="str">
        <f t="shared" si="338"/>
        <v/>
      </c>
      <c r="Q811" s="178">
        <f t="shared" si="354"/>
        <v>0</v>
      </c>
      <c r="R811" s="179" t="str">
        <f t="shared" si="339"/>
        <v/>
      </c>
      <c r="S811" s="178">
        <f t="shared" si="334"/>
        <v>0</v>
      </c>
      <c r="T811" s="179" t="str">
        <f t="shared" si="341"/>
        <v/>
      </c>
      <c r="U811" s="178">
        <f t="shared" si="335"/>
        <v>0</v>
      </c>
      <c r="V811" s="179" t="str">
        <f t="shared" si="336"/>
        <v/>
      </c>
      <c r="W811" s="157">
        <f t="shared" si="342"/>
        <v>4</v>
      </c>
    </row>
    <row r="812" spans="1:23" ht="11.25" customHeight="1" x14ac:dyDescent="0.25">
      <c r="A812" s="51" t="s">
        <v>878</v>
      </c>
      <c r="B812" s="282">
        <f t="shared" si="340"/>
        <v>4</v>
      </c>
      <c r="C812" s="51"/>
      <c r="D812" s="49"/>
      <c r="E812" s="49"/>
      <c r="F812" s="395" t="s">
        <v>879</v>
      </c>
      <c r="G812" s="396"/>
      <c r="H812" s="50">
        <v>0</v>
      </c>
      <c r="I812" s="50">
        <v>0</v>
      </c>
      <c r="J812" s="135">
        <v>0</v>
      </c>
      <c r="K812" s="135">
        <v>0</v>
      </c>
      <c r="L812" s="152">
        <v>0</v>
      </c>
      <c r="O812" s="178">
        <f t="shared" si="353"/>
        <v>0</v>
      </c>
      <c r="P812" s="179" t="str">
        <f t="shared" si="338"/>
        <v/>
      </c>
      <c r="Q812" s="178">
        <f t="shared" si="354"/>
        <v>0</v>
      </c>
      <c r="R812" s="179" t="str">
        <f t="shared" si="339"/>
        <v/>
      </c>
      <c r="S812" s="178">
        <f t="shared" si="334"/>
        <v>0</v>
      </c>
      <c r="T812" s="179" t="str">
        <f t="shared" si="341"/>
        <v/>
      </c>
      <c r="U812" s="178">
        <f t="shared" si="335"/>
        <v>0</v>
      </c>
      <c r="V812" s="179" t="str">
        <f t="shared" si="336"/>
        <v/>
      </c>
      <c r="W812" s="157">
        <f t="shared" si="342"/>
        <v>4</v>
      </c>
    </row>
    <row r="813" spans="1:23" ht="11.25" customHeight="1" x14ac:dyDescent="0.25">
      <c r="A813" s="58" t="s">
        <v>880</v>
      </c>
      <c r="B813" s="282">
        <f t="shared" si="340"/>
        <v>3</v>
      </c>
      <c r="C813" s="58"/>
      <c r="D813" s="59"/>
      <c r="E813" s="59"/>
      <c r="F813" s="397" t="s">
        <v>850</v>
      </c>
      <c r="G813" s="398"/>
      <c r="H813" s="61">
        <f t="shared" ref="H813:L813" si="355">H814+H815</f>
        <v>56838944.920000002</v>
      </c>
      <c r="I813" s="61">
        <f t="shared" si="355"/>
        <v>46881225.180000007</v>
      </c>
      <c r="J813" s="134">
        <f t="shared" si="355"/>
        <v>42792999.999999978</v>
      </c>
      <c r="K813" s="134">
        <f t="shared" si="355"/>
        <v>62032372.140000001</v>
      </c>
      <c r="L813" s="151">
        <f t="shared" si="355"/>
        <v>53438000</v>
      </c>
      <c r="O813" s="88">
        <f t="shared" si="353"/>
        <v>10645000.000000022</v>
      </c>
      <c r="P813" s="123">
        <f t="shared" si="338"/>
        <v>1.2487556376042817</v>
      </c>
      <c r="Q813" s="88">
        <f t="shared" si="354"/>
        <v>6556774.8199999928</v>
      </c>
      <c r="R813" s="123">
        <f t="shared" si="339"/>
        <v>1.1398592889760308</v>
      </c>
      <c r="S813" s="88">
        <f t="shared" si="334"/>
        <v>-8594372.1400000006</v>
      </c>
      <c r="T813" s="123">
        <f t="shared" si="341"/>
        <v>0.86145343401339736</v>
      </c>
      <c r="U813" s="88">
        <f t="shared" si="335"/>
        <v>15151146.959999993</v>
      </c>
      <c r="V813" s="123">
        <f t="shared" si="336"/>
        <v>1.3231815487293115</v>
      </c>
      <c r="W813" s="157">
        <f t="shared" si="342"/>
        <v>3</v>
      </c>
    </row>
    <row r="814" spans="1:23" ht="11.25" customHeight="1" x14ac:dyDescent="0.25">
      <c r="A814" s="51" t="s">
        <v>881</v>
      </c>
      <c r="B814" s="282">
        <f t="shared" si="340"/>
        <v>4</v>
      </c>
      <c r="C814" s="51"/>
      <c r="D814" s="49"/>
      <c r="E814" s="49"/>
      <c r="F814" s="395" t="s">
        <v>882</v>
      </c>
      <c r="G814" s="396"/>
      <c r="H814" s="50">
        <v>0</v>
      </c>
      <c r="I814" s="50">
        <v>0</v>
      </c>
      <c r="J814" s="135">
        <v>0</v>
      </c>
      <c r="K814" s="135">
        <v>0</v>
      </c>
      <c r="L814" s="152">
        <v>0</v>
      </c>
      <c r="O814" s="178">
        <f t="shared" si="353"/>
        <v>0</v>
      </c>
      <c r="P814" s="179" t="str">
        <f t="shared" si="338"/>
        <v/>
      </c>
      <c r="Q814" s="178">
        <f t="shared" si="354"/>
        <v>0</v>
      </c>
      <c r="R814" s="179" t="str">
        <f t="shared" si="339"/>
        <v/>
      </c>
      <c r="S814" s="178">
        <f t="shared" si="334"/>
        <v>0</v>
      </c>
      <c r="T814" s="179" t="str">
        <f t="shared" si="341"/>
        <v/>
      </c>
      <c r="U814" s="178">
        <f t="shared" si="335"/>
        <v>0</v>
      </c>
      <c r="V814" s="179" t="str">
        <f t="shared" si="336"/>
        <v/>
      </c>
      <c r="W814" s="157">
        <f t="shared" si="342"/>
        <v>4</v>
      </c>
    </row>
    <row r="815" spans="1:23" ht="11.25" customHeight="1" x14ac:dyDescent="0.25">
      <c r="A815" s="51" t="s">
        <v>883</v>
      </c>
      <c r="B815" s="282">
        <f t="shared" si="340"/>
        <v>4</v>
      </c>
      <c r="C815" s="51"/>
      <c r="D815" s="49"/>
      <c r="E815" s="49"/>
      <c r="F815" s="395" t="s">
        <v>884</v>
      </c>
      <c r="G815" s="396"/>
      <c r="H815" s="50">
        <f t="shared" ref="H815:J815" si="356">H816+H824+H827</f>
        <v>56838944.920000002</v>
      </c>
      <c r="I815" s="50">
        <f t="shared" si="356"/>
        <v>46881225.180000007</v>
      </c>
      <c r="J815" s="135">
        <f t="shared" si="356"/>
        <v>42792999.999999978</v>
      </c>
      <c r="K815" s="346">
        <f>K816+K824+K827</f>
        <v>62032372.140000001</v>
      </c>
      <c r="L815" s="152">
        <f>L816+L824+L827</f>
        <v>53438000</v>
      </c>
      <c r="O815" s="178">
        <f t="shared" si="353"/>
        <v>10645000.000000022</v>
      </c>
      <c r="P815" s="179">
        <f t="shared" si="338"/>
        <v>1.2487556376042817</v>
      </c>
      <c r="Q815" s="178">
        <f t="shared" si="354"/>
        <v>6556774.8199999928</v>
      </c>
      <c r="R815" s="179">
        <f t="shared" si="339"/>
        <v>1.1398592889760308</v>
      </c>
      <c r="S815" s="178">
        <f t="shared" ref="S815:S837" si="357">L815-K815</f>
        <v>-8594372.1400000006</v>
      </c>
      <c r="T815" s="179">
        <f t="shared" si="341"/>
        <v>0.86145343401339736</v>
      </c>
      <c r="U815" s="178">
        <f t="shared" ref="U815:U837" si="358">K815-I815</f>
        <v>15151146.959999993</v>
      </c>
      <c r="V815" s="179">
        <f t="shared" ref="V815:V837" si="359">IF(I815=0,"",K815/I815)</f>
        <v>1.3231815487293115</v>
      </c>
      <c r="W815" s="157">
        <f t="shared" si="342"/>
        <v>4</v>
      </c>
    </row>
    <row r="816" spans="1:23" ht="11.25" customHeight="1" x14ac:dyDescent="0.25">
      <c r="A816" s="55" t="s">
        <v>1618</v>
      </c>
      <c r="B816" s="282">
        <f t="shared" si="340"/>
        <v>7</v>
      </c>
      <c r="C816" s="55"/>
      <c r="D816" s="53"/>
      <c r="E816" s="53"/>
      <c r="F816" s="381" t="s">
        <v>885</v>
      </c>
      <c r="G816" s="382"/>
      <c r="H816" s="54">
        <f t="shared" ref="H816:L816" si="360">SUM(H817:H823)</f>
        <v>40116648.200000003</v>
      </c>
      <c r="I816" s="54">
        <f t="shared" si="360"/>
        <v>25075007.230000004</v>
      </c>
      <c r="J816" s="136">
        <f t="shared" si="360"/>
        <v>19961999.999999989</v>
      </c>
      <c r="K816" s="182">
        <f t="shared" si="360"/>
        <v>37317883.480000004</v>
      </c>
      <c r="L816" s="153">
        <f t="shared" si="360"/>
        <v>29988000</v>
      </c>
      <c r="O816" s="88">
        <f t="shared" si="353"/>
        <v>10026000.000000011</v>
      </c>
      <c r="P816" s="123">
        <f t="shared" si="338"/>
        <v>1.5022542831379631</v>
      </c>
      <c r="Q816" s="88">
        <f t="shared" si="354"/>
        <v>4912992.7699999958</v>
      </c>
      <c r="R816" s="123">
        <f t="shared" si="339"/>
        <v>1.1959318585608238</v>
      </c>
      <c r="S816" s="88">
        <f t="shared" si="357"/>
        <v>-7329883.4800000042</v>
      </c>
      <c r="T816" s="123">
        <f t="shared" si="341"/>
        <v>0.80358255087193375</v>
      </c>
      <c r="U816" s="88">
        <f t="shared" si="358"/>
        <v>12242876.25</v>
      </c>
      <c r="V816" s="123">
        <f t="shared" si="359"/>
        <v>1.4882501583230849</v>
      </c>
      <c r="W816" s="157">
        <f t="shared" si="342"/>
        <v>7</v>
      </c>
    </row>
    <row r="817" spans="1:23" ht="11.25" customHeight="1" x14ac:dyDescent="0.25">
      <c r="A817" s="42" t="s">
        <v>1619</v>
      </c>
      <c r="B817" s="282">
        <f t="shared" si="340"/>
        <v>11</v>
      </c>
      <c r="C817" s="56" t="s">
        <v>916</v>
      </c>
      <c r="D817" s="34" t="s">
        <v>923</v>
      </c>
      <c r="E817" s="34" t="s">
        <v>1633</v>
      </c>
      <c r="F817" s="399" t="s">
        <v>886</v>
      </c>
      <c r="G817" s="400"/>
      <c r="H817" s="57">
        <v>23515319.640000001</v>
      </c>
      <c r="I817" s="57">
        <v>8728675.8800000008</v>
      </c>
      <c r="J817" s="340">
        <v>3886000</v>
      </c>
      <c r="K817" s="130">
        <v>10388549.939999999</v>
      </c>
      <c r="L817" s="142">
        <f>690000+3621000</f>
        <v>4311000</v>
      </c>
      <c r="O817" s="88">
        <f t="shared" si="353"/>
        <v>425000</v>
      </c>
      <c r="P817" s="123">
        <f t="shared" si="338"/>
        <v>1.1093669583118888</v>
      </c>
      <c r="Q817" s="88">
        <f t="shared" si="354"/>
        <v>-4417675.8800000008</v>
      </c>
      <c r="R817" s="123">
        <f t="shared" si="339"/>
        <v>0.49388934350028812</v>
      </c>
      <c r="S817" s="88">
        <f t="shared" si="357"/>
        <v>-6077549.9399999995</v>
      </c>
      <c r="T817" s="123">
        <f t="shared" si="341"/>
        <v>0.41497610589529499</v>
      </c>
      <c r="U817" s="88">
        <f t="shared" si="358"/>
        <v>1659874.0599999987</v>
      </c>
      <c r="V817" s="123">
        <f t="shared" si="359"/>
        <v>1.1901633286445272</v>
      </c>
      <c r="W817" s="157">
        <f t="shared" si="342"/>
        <v>11</v>
      </c>
    </row>
    <row r="818" spans="1:23" ht="11.25" customHeight="1" x14ac:dyDescent="0.25">
      <c r="A818" s="42" t="s">
        <v>1620</v>
      </c>
      <c r="B818" s="282">
        <f t="shared" si="340"/>
        <v>11</v>
      </c>
      <c r="C818" s="56" t="s">
        <v>916</v>
      </c>
      <c r="D818" s="34" t="s">
        <v>923</v>
      </c>
      <c r="E818" s="34" t="s">
        <v>1633</v>
      </c>
      <c r="F818" s="399" t="s">
        <v>887</v>
      </c>
      <c r="G818" s="400"/>
      <c r="H818" s="57">
        <v>2334107.37</v>
      </c>
      <c r="I818" s="57">
        <v>2565888.88</v>
      </c>
      <c r="J818" s="340">
        <v>2452000</v>
      </c>
      <c r="K818" s="130">
        <v>2313672.0299999998</v>
      </c>
      <c r="L818" s="143">
        <v>3498000</v>
      </c>
      <c r="M818" s="401" t="s">
        <v>1734</v>
      </c>
      <c r="N818" s="191"/>
      <c r="O818" s="88">
        <f t="shared" si="353"/>
        <v>1046000</v>
      </c>
      <c r="P818" s="123">
        <f t="shared" si="338"/>
        <v>1.4265905383360522</v>
      </c>
      <c r="Q818" s="88">
        <f t="shared" si="354"/>
        <v>932111.12000000011</v>
      </c>
      <c r="R818" s="123">
        <f t="shared" si="339"/>
        <v>1.3632702597783581</v>
      </c>
      <c r="S818" s="88">
        <f t="shared" si="357"/>
        <v>1184327.9700000002</v>
      </c>
      <c r="T818" s="123">
        <f t="shared" si="341"/>
        <v>1.5118823906947607</v>
      </c>
      <c r="U818" s="88">
        <f t="shared" si="358"/>
        <v>-252216.85000000009</v>
      </c>
      <c r="V818" s="123">
        <f t="shared" si="359"/>
        <v>0.9017039077701603</v>
      </c>
      <c r="W818" s="157">
        <f t="shared" si="342"/>
        <v>11</v>
      </c>
    </row>
    <row r="819" spans="1:23" ht="11.25" customHeight="1" x14ac:dyDescent="0.25">
      <c r="A819" s="42" t="s">
        <v>1621</v>
      </c>
      <c r="B819" s="282">
        <f t="shared" si="340"/>
        <v>11</v>
      </c>
      <c r="C819" s="56" t="s">
        <v>916</v>
      </c>
      <c r="D819" s="34" t="s">
        <v>923</v>
      </c>
      <c r="E819" s="34" t="s">
        <v>1633</v>
      </c>
      <c r="F819" s="399" t="s">
        <v>888</v>
      </c>
      <c r="G819" s="400"/>
      <c r="H819" s="57">
        <v>4747694.55</v>
      </c>
      <c r="I819" s="57">
        <v>5042825.37</v>
      </c>
      <c r="J819" s="340">
        <v>4804000</v>
      </c>
      <c r="K819" s="130">
        <v>5591117.7000000002</v>
      </c>
      <c r="L819" s="143">
        <v>6190000</v>
      </c>
      <c r="M819" s="402"/>
      <c r="N819" s="192"/>
      <c r="O819" s="88">
        <f t="shared" si="353"/>
        <v>1386000</v>
      </c>
      <c r="P819" s="123">
        <f t="shared" si="338"/>
        <v>1.2885095753538718</v>
      </c>
      <c r="Q819" s="88">
        <f t="shared" si="354"/>
        <v>1147174.6299999999</v>
      </c>
      <c r="R819" s="123">
        <f t="shared" si="339"/>
        <v>1.2274864874014069</v>
      </c>
      <c r="S819" s="88">
        <f t="shared" si="357"/>
        <v>598882.29999999981</v>
      </c>
      <c r="T819" s="123">
        <f t="shared" si="341"/>
        <v>1.1071131627223658</v>
      </c>
      <c r="U819" s="88">
        <f t="shared" si="358"/>
        <v>548292.33000000007</v>
      </c>
      <c r="V819" s="123">
        <f t="shared" si="359"/>
        <v>1.1087272094056273</v>
      </c>
      <c r="W819" s="157">
        <f t="shared" si="342"/>
        <v>11</v>
      </c>
    </row>
    <row r="820" spans="1:23" ht="11.25" customHeight="1" x14ac:dyDescent="0.25">
      <c r="A820" s="42" t="s">
        <v>1622</v>
      </c>
      <c r="B820" s="282">
        <f t="shared" si="340"/>
        <v>11</v>
      </c>
      <c r="C820" s="56"/>
      <c r="D820" s="34"/>
      <c r="E820" s="34"/>
      <c r="F820" s="399" t="s">
        <v>889</v>
      </c>
      <c r="G820" s="400"/>
      <c r="H820" s="57">
        <v>0</v>
      </c>
      <c r="I820" s="57">
        <v>0</v>
      </c>
      <c r="J820" s="340">
        <v>0</v>
      </c>
      <c r="K820" s="130">
        <v>2352854.0699999998</v>
      </c>
      <c r="L820" s="141"/>
      <c r="O820" s="88">
        <f t="shared" si="353"/>
        <v>0</v>
      </c>
      <c r="P820" s="123" t="str">
        <f t="shared" si="338"/>
        <v/>
      </c>
      <c r="Q820" s="88">
        <f t="shared" si="354"/>
        <v>0</v>
      </c>
      <c r="R820" s="123" t="str">
        <f t="shared" si="339"/>
        <v/>
      </c>
      <c r="S820" s="88">
        <f t="shared" si="357"/>
        <v>-2352854.0699999998</v>
      </c>
      <c r="T820" s="123">
        <f t="shared" si="341"/>
        <v>0</v>
      </c>
      <c r="U820" s="88">
        <f t="shared" si="358"/>
        <v>2352854.0699999998</v>
      </c>
      <c r="V820" s="123" t="str">
        <f t="shared" si="359"/>
        <v/>
      </c>
      <c r="W820" s="157">
        <f t="shared" si="342"/>
        <v>11</v>
      </c>
    </row>
    <row r="821" spans="1:23" ht="11.25" customHeight="1" x14ac:dyDescent="0.25">
      <c r="A821" s="42" t="s">
        <v>1623</v>
      </c>
      <c r="B821" s="282">
        <f t="shared" si="340"/>
        <v>11</v>
      </c>
      <c r="C821" s="34" t="s">
        <v>916</v>
      </c>
      <c r="D821" s="34" t="s">
        <v>923</v>
      </c>
      <c r="E821" s="34" t="s">
        <v>1633</v>
      </c>
      <c r="F821" s="399" t="s">
        <v>890</v>
      </c>
      <c r="G821" s="400"/>
      <c r="H821" s="57">
        <v>5458924.9699999997</v>
      </c>
      <c r="I821" s="57">
        <v>5871236.1600000001</v>
      </c>
      <c r="J821" s="340">
        <v>8000000</v>
      </c>
      <c r="K821" s="130">
        <v>10486103.460000001</v>
      </c>
      <c r="L821" s="143">
        <v>8000000</v>
      </c>
      <c r="O821" s="88">
        <f t="shared" si="353"/>
        <v>0</v>
      </c>
      <c r="P821" s="123">
        <f t="shared" si="338"/>
        <v>1</v>
      </c>
      <c r="Q821" s="88">
        <f t="shared" si="354"/>
        <v>2128763.84</v>
      </c>
      <c r="R821" s="123">
        <f t="shared" si="339"/>
        <v>1.3625750663042653</v>
      </c>
      <c r="S821" s="88">
        <f t="shared" si="357"/>
        <v>-2486103.4600000009</v>
      </c>
      <c r="T821" s="123">
        <f t="shared" si="341"/>
        <v>0.76291446393949647</v>
      </c>
      <c r="U821" s="88">
        <f t="shared" si="358"/>
        <v>4614867.3000000007</v>
      </c>
      <c r="V821" s="123">
        <f t="shared" si="359"/>
        <v>1.7860128896603609</v>
      </c>
      <c r="W821" s="157">
        <f t="shared" si="342"/>
        <v>11</v>
      </c>
    </row>
    <row r="822" spans="1:23" ht="11.25" customHeight="1" x14ac:dyDescent="0.25">
      <c r="A822" s="42" t="s">
        <v>1624</v>
      </c>
      <c r="B822" s="282">
        <f t="shared" si="340"/>
        <v>11</v>
      </c>
      <c r="C822" s="56" t="s">
        <v>916</v>
      </c>
      <c r="D822" s="34" t="s">
        <v>923</v>
      </c>
      <c r="E822" s="34" t="s">
        <v>1633</v>
      </c>
      <c r="F822" s="399" t="s">
        <v>1690</v>
      </c>
      <c r="G822" s="400"/>
      <c r="H822" s="57">
        <v>1052762</v>
      </c>
      <c r="I822" s="57">
        <v>1140705</v>
      </c>
      <c r="J822" s="340">
        <v>819999.99999998999</v>
      </c>
      <c r="K822" s="130">
        <v>3346675</v>
      </c>
      <c r="L822" s="143">
        <v>4545000</v>
      </c>
      <c r="O822" s="88">
        <f t="shared" si="353"/>
        <v>3725000.0000000102</v>
      </c>
      <c r="P822" s="123">
        <f t="shared" si="338"/>
        <v>5.5426829268293361</v>
      </c>
      <c r="Q822" s="88">
        <f t="shared" si="354"/>
        <v>3404295</v>
      </c>
      <c r="R822" s="123">
        <f t="shared" si="339"/>
        <v>3.9843780819756205</v>
      </c>
      <c r="S822" s="88">
        <f t="shared" si="357"/>
        <v>1198325</v>
      </c>
      <c r="T822" s="123">
        <f t="shared" si="341"/>
        <v>1.3580643474493341</v>
      </c>
      <c r="U822" s="88">
        <f t="shared" si="358"/>
        <v>2205970</v>
      </c>
      <c r="V822" s="123">
        <f t="shared" si="359"/>
        <v>2.9338654603951064</v>
      </c>
      <c r="W822" s="157">
        <f t="shared" si="342"/>
        <v>11</v>
      </c>
    </row>
    <row r="823" spans="1:23" ht="11.25" customHeight="1" x14ac:dyDescent="0.25">
      <c r="A823" s="42" t="s">
        <v>1625</v>
      </c>
      <c r="B823" s="282">
        <f t="shared" si="340"/>
        <v>11</v>
      </c>
      <c r="C823" s="56" t="s">
        <v>916</v>
      </c>
      <c r="D823" s="34" t="s">
        <v>923</v>
      </c>
      <c r="E823" s="34" t="s">
        <v>1633</v>
      </c>
      <c r="F823" s="399" t="s">
        <v>891</v>
      </c>
      <c r="G823" s="400"/>
      <c r="H823" s="57">
        <v>3007839.67</v>
      </c>
      <c r="I823" s="57">
        <v>1725675.94</v>
      </c>
      <c r="J823" s="340">
        <v>0</v>
      </c>
      <c r="K823" s="130">
        <v>2838911.28</v>
      </c>
      <c r="L823" s="143">
        <v>3444000</v>
      </c>
      <c r="O823" s="88">
        <f t="shared" si="353"/>
        <v>3444000</v>
      </c>
      <c r="P823" s="123" t="str">
        <f t="shared" si="338"/>
        <v/>
      </c>
      <c r="Q823" s="88">
        <f t="shared" si="354"/>
        <v>1718324.06</v>
      </c>
      <c r="R823" s="123">
        <f t="shared" si="339"/>
        <v>1.9957397099712708</v>
      </c>
      <c r="S823" s="88">
        <f t="shared" si="357"/>
        <v>605088.7200000002</v>
      </c>
      <c r="T823" s="123">
        <f t="shared" si="341"/>
        <v>1.213141116548031</v>
      </c>
      <c r="U823" s="88">
        <f t="shared" si="358"/>
        <v>1113235.3399999999</v>
      </c>
      <c r="V823" s="123">
        <f t="shared" si="359"/>
        <v>1.6451010379156124</v>
      </c>
      <c r="W823" s="157">
        <f t="shared" si="342"/>
        <v>11</v>
      </c>
    </row>
    <row r="824" spans="1:23" ht="11.25" customHeight="1" x14ac:dyDescent="0.25">
      <c r="A824" s="55" t="s">
        <v>1626</v>
      </c>
      <c r="B824" s="282">
        <f t="shared" si="340"/>
        <v>7</v>
      </c>
      <c r="C824" s="55"/>
      <c r="D824" s="53"/>
      <c r="E824" s="53"/>
      <c r="F824" s="381" t="s">
        <v>892</v>
      </c>
      <c r="G824" s="382"/>
      <c r="H824" s="54">
        <f t="shared" ref="H824:L824" si="361">SUM(H825:H826)</f>
        <v>16228203.720000001</v>
      </c>
      <c r="I824" s="54">
        <f t="shared" si="361"/>
        <v>21240900.949999999</v>
      </c>
      <c r="J824" s="136">
        <f t="shared" si="361"/>
        <v>22280999.999999993</v>
      </c>
      <c r="K824" s="136">
        <f t="shared" si="361"/>
        <v>23866209.359999999</v>
      </c>
      <c r="L824" s="153">
        <f t="shared" si="361"/>
        <v>22900000</v>
      </c>
      <c r="O824" s="88">
        <f t="shared" si="353"/>
        <v>619000.00000000745</v>
      </c>
      <c r="P824" s="123">
        <f t="shared" si="338"/>
        <v>1.0277815178851939</v>
      </c>
      <c r="Q824" s="88">
        <f t="shared" si="354"/>
        <v>1659099.0500000007</v>
      </c>
      <c r="R824" s="123">
        <f t="shared" si="339"/>
        <v>1.0781086948197458</v>
      </c>
      <c r="S824" s="88">
        <f t="shared" si="357"/>
        <v>-966209.3599999994</v>
      </c>
      <c r="T824" s="123">
        <f t="shared" si="341"/>
        <v>0.95951559188031865</v>
      </c>
      <c r="U824" s="88">
        <f t="shared" si="358"/>
        <v>2625308.41</v>
      </c>
      <c r="V824" s="123">
        <f t="shared" si="359"/>
        <v>1.1235968481835983</v>
      </c>
      <c r="W824" s="157">
        <f t="shared" si="342"/>
        <v>7</v>
      </c>
    </row>
    <row r="825" spans="1:23" ht="11.25" customHeight="1" x14ac:dyDescent="0.25">
      <c r="A825" s="42" t="s">
        <v>1627</v>
      </c>
      <c r="B825" s="282">
        <f t="shared" si="340"/>
        <v>11</v>
      </c>
      <c r="C825" s="56" t="s">
        <v>916</v>
      </c>
      <c r="D825" s="34" t="s">
        <v>923</v>
      </c>
      <c r="E825" s="34" t="s">
        <v>1633</v>
      </c>
      <c r="F825" s="399" t="s">
        <v>893</v>
      </c>
      <c r="G825" s="400"/>
      <c r="H825" s="57">
        <v>6077912.2400000002</v>
      </c>
      <c r="I825" s="57">
        <v>7877201.7199999997</v>
      </c>
      <c r="J825" s="340">
        <v>8866999.9999999907</v>
      </c>
      <c r="K825" s="130">
        <v>8639236.7200000007</v>
      </c>
      <c r="L825" s="143">
        <v>8429000</v>
      </c>
      <c r="O825" s="88">
        <f t="shared" si="353"/>
        <v>-437999.99999999069</v>
      </c>
      <c r="P825" s="123">
        <f t="shared" si="338"/>
        <v>0.95060336077591168</v>
      </c>
      <c r="Q825" s="88">
        <f t="shared" si="354"/>
        <v>551798.28000000026</v>
      </c>
      <c r="R825" s="123">
        <f t="shared" si="339"/>
        <v>1.0700500380228932</v>
      </c>
      <c r="S825" s="88">
        <f t="shared" si="357"/>
        <v>-210236.72000000067</v>
      </c>
      <c r="T825" s="123">
        <f t="shared" si="341"/>
        <v>0.97566489647015942</v>
      </c>
      <c r="U825" s="88">
        <f t="shared" si="358"/>
        <v>762035.00000000093</v>
      </c>
      <c r="V825" s="123">
        <f t="shared" si="359"/>
        <v>1.0967393024943382</v>
      </c>
      <c r="W825" s="157">
        <f t="shared" si="342"/>
        <v>11</v>
      </c>
    </row>
    <row r="826" spans="1:23" ht="11.25" customHeight="1" x14ac:dyDescent="0.25">
      <c r="A826" s="42" t="s">
        <v>1628</v>
      </c>
      <c r="B826" s="282">
        <f t="shared" si="340"/>
        <v>11</v>
      </c>
      <c r="C826" s="56" t="s">
        <v>916</v>
      </c>
      <c r="D826" s="34" t="s">
        <v>923</v>
      </c>
      <c r="E826" s="34" t="s">
        <v>1633</v>
      </c>
      <c r="F826" s="399" t="s">
        <v>894</v>
      </c>
      <c r="G826" s="400"/>
      <c r="H826" s="57">
        <v>10150291.48</v>
      </c>
      <c r="I826" s="57">
        <v>13363699.23</v>
      </c>
      <c r="J826" s="340">
        <v>13414000</v>
      </c>
      <c r="K826" s="130">
        <v>15226972.640000001</v>
      </c>
      <c r="L826" s="143">
        <v>14471000</v>
      </c>
      <c r="O826" s="88">
        <f t="shared" si="353"/>
        <v>1057000</v>
      </c>
      <c r="P826" s="123">
        <f t="shared" si="338"/>
        <v>1.0787982704636947</v>
      </c>
      <c r="Q826" s="88">
        <f t="shared" si="354"/>
        <v>1107300.7699999996</v>
      </c>
      <c r="R826" s="123">
        <f t="shared" si="339"/>
        <v>1.0828588515008055</v>
      </c>
      <c r="S826" s="88">
        <f t="shared" si="357"/>
        <v>-755972.6400000006</v>
      </c>
      <c r="T826" s="123">
        <f t="shared" si="341"/>
        <v>0.95035305717867236</v>
      </c>
      <c r="U826" s="88">
        <f t="shared" si="358"/>
        <v>1863273.4100000001</v>
      </c>
      <c r="V826" s="123">
        <f t="shared" si="359"/>
        <v>1.1394279666080154</v>
      </c>
      <c r="W826" s="157">
        <f t="shared" si="342"/>
        <v>11</v>
      </c>
    </row>
    <row r="827" spans="1:23" ht="11.25" customHeight="1" x14ac:dyDescent="0.25">
      <c r="A827" s="55" t="s">
        <v>1629</v>
      </c>
      <c r="B827" s="282">
        <f t="shared" si="340"/>
        <v>7</v>
      </c>
      <c r="C827" s="55"/>
      <c r="D827" s="53"/>
      <c r="E827" s="53"/>
      <c r="F827" s="381" t="s">
        <v>895</v>
      </c>
      <c r="G827" s="382"/>
      <c r="H827" s="54">
        <f t="shared" ref="H827:L827" si="362">SUM(H828)</f>
        <v>494093</v>
      </c>
      <c r="I827" s="54">
        <f t="shared" si="362"/>
        <v>565317</v>
      </c>
      <c r="J827" s="136">
        <f t="shared" si="362"/>
        <v>549999.99999999604</v>
      </c>
      <c r="K827" s="136">
        <f t="shared" si="362"/>
        <v>848279.3</v>
      </c>
      <c r="L827" s="153">
        <f t="shared" si="362"/>
        <v>550000</v>
      </c>
      <c r="O827" s="88">
        <f t="shared" si="353"/>
        <v>3.9581209421157837E-9</v>
      </c>
      <c r="P827" s="123">
        <f t="shared" si="338"/>
        <v>1.0000000000000071</v>
      </c>
      <c r="Q827" s="88">
        <f t="shared" si="354"/>
        <v>-15317</v>
      </c>
      <c r="R827" s="123">
        <f t="shared" si="339"/>
        <v>0.97290546719804993</v>
      </c>
      <c r="S827" s="88">
        <f t="shared" si="357"/>
        <v>-298279.30000000005</v>
      </c>
      <c r="T827" s="123">
        <f t="shared" si="341"/>
        <v>0.64837135599088647</v>
      </c>
      <c r="U827" s="88">
        <f t="shared" si="358"/>
        <v>282962.30000000005</v>
      </c>
      <c r="V827" s="123">
        <f t="shared" si="359"/>
        <v>1.5005373976016996</v>
      </c>
      <c r="W827" s="157">
        <f t="shared" si="342"/>
        <v>7</v>
      </c>
    </row>
    <row r="828" spans="1:23" ht="11.25" customHeight="1" x14ac:dyDescent="0.25">
      <c r="A828" s="42" t="s">
        <v>1630</v>
      </c>
      <c r="B828" s="282">
        <f t="shared" si="340"/>
        <v>11</v>
      </c>
      <c r="C828" s="56" t="s">
        <v>916</v>
      </c>
      <c r="D828" s="34" t="s">
        <v>920</v>
      </c>
      <c r="E828" s="34" t="s">
        <v>917</v>
      </c>
      <c r="F828" s="399" t="s">
        <v>896</v>
      </c>
      <c r="G828" s="400"/>
      <c r="H828" s="57">
        <v>494093</v>
      </c>
      <c r="I828" s="57">
        <v>565317</v>
      </c>
      <c r="J828" s="340">
        <v>549999.99999999604</v>
      </c>
      <c r="K828" s="130">
        <v>848279.3</v>
      </c>
      <c r="L828" s="145">
        <v>550000</v>
      </c>
      <c r="O828" s="88">
        <f t="shared" si="353"/>
        <v>3.9581209421157837E-9</v>
      </c>
      <c r="P828" s="123">
        <f t="shared" si="338"/>
        <v>1.0000000000000071</v>
      </c>
      <c r="Q828" s="88">
        <f t="shared" si="354"/>
        <v>-15317</v>
      </c>
      <c r="R828" s="123">
        <f t="shared" si="339"/>
        <v>0.97290546719804993</v>
      </c>
      <c r="S828" s="88">
        <f t="shared" si="357"/>
        <v>-298279.30000000005</v>
      </c>
      <c r="T828" s="123">
        <f t="shared" si="341"/>
        <v>0.64837135599088647</v>
      </c>
      <c r="U828" s="88">
        <f t="shared" si="358"/>
        <v>282962.30000000005</v>
      </c>
      <c r="V828" s="123">
        <f t="shared" si="359"/>
        <v>1.5005373976016996</v>
      </c>
      <c r="W828" s="157">
        <f t="shared" si="342"/>
        <v>11</v>
      </c>
    </row>
    <row r="829" spans="1:23" ht="11.25" customHeight="1" x14ac:dyDescent="0.25">
      <c r="A829" s="58" t="s">
        <v>897</v>
      </c>
      <c r="B829" s="282">
        <f t="shared" si="340"/>
        <v>3</v>
      </c>
      <c r="C829" s="58"/>
      <c r="D829" s="59"/>
      <c r="E829" s="59"/>
      <c r="F829" s="397" t="s">
        <v>898</v>
      </c>
      <c r="G829" s="398"/>
      <c r="H829" s="52">
        <f>H830+H831+H832+H833</f>
        <v>0</v>
      </c>
      <c r="I829" s="52">
        <f>I830+I831+I832+I833</f>
        <v>0</v>
      </c>
      <c r="J829" s="137">
        <f>J830+J831+J832+J833</f>
        <v>0</v>
      </c>
      <c r="K829" s="137">
        <f t="shared" ref="K829:L829" si="363">K830+K831+K832+K833</f>
        <v>0</v>
      </c>
      <c r="L829" s="154">
        <f t="shared" si="363"/>
        <v>0</v>
      </c>
      <c r="O829" s="88">
        <f t="shared" si="353"/>
        <v>0</v>
      </c>
      <c r="P829" s="123" t="str">
        <f t="shared" si="338"/>
        <v/>
      </c>
      <c r="Q829" s="88">
        <f t="shared" si="354"/>
        <v>0</v>
      </c>
      <c r="R829" s="123" t="str">
        <f t="shared" si="339"/>
        <v/>
      </c>
      <c r="S829" s="88">
        <f t="shared" si="357"/>
        <v>0</v>
      </c>
      <c r="T829" s="123" t="str">
        <f t="shared" si="341"/>
        <v/>
      </c>
      <c r="U829" s="88">
        <f t="shared" si="358"/>
        <v>0</v>
      </c>
      <c r="V829" s="123" t="str">
        <f t="shared" si="359"/>
        <v/>
      </c>
      <c r="W829" s="157">
        <f t="shared" si="342"/>
        <v>3</v>
      </c>
    </row>
    <row r="830" spans="1:23" ht="11.25" customHeight="1" x14ac:dyDescent="0.25">
      <c r="A830" s="51" t="s">
        <v>899</v>
      </c>
      <c r="B830" s="282">
        <f t="shared" si="340"/>
        <v>4</v>
      </c>
      <c r="C830" s="51"/>
      <c r="D830" s="49"/>
      <c r="E830" s="49"/>
      <c r="F830" s="395" t="s">
        <v>900</v>
      </c>
      <c r="G830" s="396"/>
      <c r="H830" s="50">
        <v>0</v>
      </c>
      <c r="I830" s="50">
        <v>0</v>
      </c>
      <c r="J830" s="135">
        <v>0</v>
      </c>
      <c r="K830" s="135">
        <v>0</v>
      </c>
      <c r="L830" s="152">
        <v>0</v>
      </c>
      <c r="O830" s="178">
        <f t="shared" si="353"/>
        <v>0</v>
      </c>
      <c r="P830" s="179" t="str">
        <f t="shared" si="338"/>
        <v/>
      </c>
      <c r="Q830" s="178">
        <f t="shared" si="354"/>
        <v>0</v>
      </c>
      <c r="R830" s="179" t="str">
        <f t="shared" si="339"/>
        <v/>
      </c>
      <c r="S830" s="178">
        <f t="shared" si="357"/>
        <v>0</v>
      </c>
      <c r="T830" s="179" t="str">
        <f t="shared" si="341"/>
        <v/>
      </c>
      <c r="U830" s="178">
        <f t="shared" si="358"/>
        <v>0</v>
      </c>
      <c r="V830" s="179" t="str">
        <f t="shared" si="359"/>
        <v/>
      </c>
      <c r="W830" s="157">
        <f t="shared" si="342"/>
        <v>4</v>
      </c>
    </row>
    <row r="831" spans="1:23" ht="11.25" customHeight="1" x14ac:dyDescent="0.25">
      <c r="A831" s="51" t="s">
        <v>901</v>
      </c>
      <c r="B831" s="282">
        <f t="shared" si="340"/>
        <v>4</v>
      </c>
      <c r="C831" s="51"/>
      <c r="D831" s="49"/>
      <c r="E831" s="49"/>
      <c r="F831" s="395" t="s">
        <v>882</v>
      </c>
      <c r="G831" s="396"/>
      <c r="H831" s="50">
        <v>0</v>
      </c>
      <c r="I831" s="50">
        <v>0</v>
      </c>
      <c r="J831" s="135">
        <v>0</v>
      </c>
      <c r="K831" s="135">
        <v>0</v>
      </c>
      <c r="L831" s="152">
        <v>0</v>
      </c>
      <c r="O831" s="178">
        <f t="shared" si="353"/>
        <v>0</v>
      </c>
      <c r="P831" s="179" t="str">
        <f t="shared" si="338"/>
        <v/>
      </c>
      <c r="Q831" s="178">
        <f t="shared" si="354"/>
        <v>0</v>
      </c>
      <c r="R831" s="179" t="str">
        <f t="shared" si="339"/>
        <v/>
      </c>
      <c r="S831" s="178">
        <f t="shared" si="357"/>
        <v>0</v>
      </c>
      <c r="T831" s="179" t="str">
        <f t="shared" si="341"/>
        <v/>
      </c>
      <c r="U831" s="178">
        <f t="shared" si="358"/>
        <v>0</v>
      </c>
      <c r="V831" s="179" t="str">
        <f t="shared" si="359"/>
        <v/>
      </c>
      <c r="W831" s="157">
        <f t="shared" si="342"/>
        <v>4</v>
      </c>
    </row>
    <row r="832" spans="1:23" ht="11.25" customHeight="1" x14ac:dyDescent="0.25">
      <c r="A832" s="51" t="s">
        <v>902</v>
      </c>
      <c r="B832" s="282">
        <f t="shared" si="340"/>
        <v>4</v>
      </c>
      <c r="C832" s="51"/>
      <c r="D832" s="49"/>
      <c r="E832" s="49"/>
      <c r="F832" s="395" t="s">
        <v>903</v>
      </c>
      <c r="G832" s="396"/>
      <c r="H832" s="50">
        <v>0</v>
      </c>
      <c r="I832" s="50">
        <v>0</v>
      </c>
      <c r="J832" s="135">
        <v>0</v>
      </c>
      <c r="K832" s="135">
        <v>0</v>
      </c>
      <c r="L832" s="152">
        <v>0</v>
      </c>
      <c r="O832" s="178">
        <f t="shared" si="353"/>
        <v>0</v>
      </c>
      <c r="P832" s="179" t="str">
        <f t="shared" si="338"/>
        <v/>
      </c>
      <c r="Q832" s="178">
        <f t="shared" si="354"/>
        <v>0</v>
      </c>
      <c r="R832" s="179" t="str">
        <f t="shared" si="339"/>
        <v/>
      </c>
      <c r="S832" s="178">
        <f t="shared" si="357"/>
        <v>0</v>
      </c>
      <c r="T832" s="179" t="str">
        <f t="shared" si="341"/>
        <v/>
      </c>
      <c r="U832" s="178">
        <f t="shared" si="358"/>
        <v>0</v>
      </c>
      <c r="V832" s="179" t="str">
        <f t="shared" si="359"/>
        <v/>
      </c>
      <c r="W832" s="157">
        <f t="shared" si="342"/>
        <v>4</v>
      </c>
    </row>
    <row r="833" spans="1:23" ht="11.25" customHeight="1" x14ac:dyDescent="0.25">
      <c r="A833" s="51" t="s">
        <v>904</v>
      </c>
      <c r="B833" s="282">
        <f t="shared" si="340"/>
        <v>4</v>
      </c>
      <c r="C833" s="51"/>
      <c r="D833" s="49"/>
      <c r="E833" s="49"/>
      <c r="F833" s="395" t="s">
        <v>905</v>
      </c>
      <c r="G833" s="396"/>
      <c r="H833" s="50">
        <v>0</v>
      </c>
      <c r="I833" s="50">
        <v>0</v>
      </c>
      <c r="J833" s="135">
        <v>0</v>
      </c>
      <c r="K833" s="135">
        <v>0</v>
      </c>
      <c r="L833" s="152">
        <v>0</v>
      </c>
      <c r="O833" s="178">
        <f t="shared" si="353"/>
        <v>0</v>
      </c>
      <c r="P833" s="179" t="str">
        <f t="shared" si="338"/>
        <v/>
      </c>
      <c r="Q833" s="178">
        <f t="shared" si="354"/>
        <v>0</v>
      </c>
      <c r="R833" s="179" t="str">
        <f t="shared" si="339"/>
        <v/>
      </c>
      <c r="S833" s="178">
        <f t="shared" si="357"/>
        <v>0</v>
      </c>
      <c r="T833" s="179" t="str">
        <f t="shared" si="341"/>
        <v/>
      </c>
      <c r="U833" s="178">
        <f t="shared" si="358"/>
        <v>0</v>
      </c>
      <c r="V833" s="179" t="str">
        <f t="shared" si="359"/>
        <v/>
      </c>
      <c r="W833" s="157">
        <f t="shared" si="342"/>
        <v>4</v>
      </c>
    </row>
    <row r="834" spans="1:23" ht="11.25" customHeight="1" x14ac:dyDescent="0.25">
      <c r="A834" s="58" t="s">
        <v>906</v>
      </c>
      <c r="B834" s="282">
        <f t="shared" si="340"/>
        <v>3</v>
      </c>
      <c r="C834" s="58"/>
      <c r="D834" s="59"/>
      <c r="E834" s="59"/>
      <c r="F834" s="397" t="s">
        <v>907</v>
      </c>
      <c r="G834" s="398"/>
      <c r="H834" s="52">
        <f>H835+H836+H837</f>
        <v>0</v>
      </c>
      <c r="I834" s="52">
        <f>I835+I836+I837</f>
        <v>0</v>
      </c>
      <c r="J834" s="137">
        <f>J835+J836+J837</f>
        <v>0</v>
      </c>
      <c r="K834" s="137">
        <f t="shared" ref="K834:L834" si="364">K835+K836+K837</f>
        <v>0</v>
      </c>
      <c r="L834" s="154">
        <f t="shared" si="364"/>
        <v>0</v>
      </c>
      <c r="O834" s="88">
        <f t="shared" si="353"/>
        <v>0</v>
      </c>
      <c r="P834" s="123" t="str">
        <f t="shared" si="338"/>
        <v/>
      </c>
      <c r="Q834" s="88">
        <f t="shared" si="354"/>
        <v>0</v>
      </c>
      <c r="R834" s="123" t="str">
        <f t="shared" si="339"/>
        <v/>
      </c>
      <c r="S834" s="88">
        <f t="shared" si="357"/>
        <v>0</v>
      </c>
      <c r="T834" s="123" t="str">
        <f t="shared" si="341"/>
        <v/>
      </c>
      <c r="U834" s="88">
        <f t="shared" si="358"/>
        <v>0</v>
      </c>
      <c r="V834" s="123" t="str">
        <f t="shared" si="359"/>
        <v/>
      </c>
      <c r="W834" s="157">
        <f t="shared" si="342"/>
        <v>3</v>
      </c>
    </row>
    <row r="835" spans="1:23" ht="11.25" customHeight="1" x14ac:dyDescent="0.25">
      <c r="A835" s="51" t="s">
        <v>908</v>
      </c>
      <c r="B835" s="282">
        <f t="shared" si="340"/>
        <v>4</v>
      </c>
      <c r="C835" s="51"/>
      <c r="D835" s="49"/>
      <c r="E835" s="49"/>
      <c r="F835" s="395" t="s">
        <v>909</v>
      </c>
      <c r="G835" s="396"/>
      <c r="H835" s="50">
        <v>0</v>
      </c>
      <c r="I835" s="50">
        <v>0</v>
      </c>
      <c r="J835" s="135">
        <v>0</v>
      </c>
      <c r="K835" s="135">
        <v>0</v>
      </c>
      <c r="L835" s="152">
        <v>0</v>
      </c>
      <c r="O835" s="178">
        <f t="shared" si="353"/>
        <v>0</v>
      </c>
      <c r="P835" s="179" t="str">
        <f t="shared" si="338"/>
        <v/>
      </c>
      <c r="Q835" s="178">
        <f t="shared" si="354"/>
        <v>0</v>
      </c>
      <c r="R835" s="179" t="str">
        <f t="shared" si="339"/>
        <v/>
      </c>
      <c r="S835" s="178">
        <f t="shared" si="357"/>
        <v>0</v>
      </c>
      <c r="T835" s="179" t="str">
        <f t="shared" si="341"/>
        <v/>
      </c>
      <c r="U835" s="178">
        <f t="shared" si="358"/>
        <v>0</v>
      </c>
      <c r="V835" s="179" t="str">
        <f t="shared" si="359"/>
        <v/>
      </c>
      <c r="W835" s="157">
        <f t="shared" si="342"/>
        <v>4</v>
      </c>
    </row>
    <row r="836" spans="1:23" ht="11.25" customHeight="1" x14ac:dyDescent="0.25">
      <c r="A836" s="51" t="s">
        <v>910</v>
      </c>
      <c r="B836" s="282">
        <f t="shared" si="340"/>
        <v>4</v>
      </c>
      <c r="C836" s="51"/>
      <c r="D836" s="49"/>
      <c r="E836" s="49"/>
      <c r="F836" s="395" t="s">
        <v>911</v>
      </c>
      <c r="G836" s="396"/>
      <c r="H836" s="50">
        <v>0</v>
      </c>
      <c r="I836" s="50">
        <v>0</v>
      </c>
      <c r="J836" s="135">
        <v>0</v>
      </c>
      <c r="K836" s="135">
        <v>0</v>
      </c>
      <c r="L836" s="152">
        <v>0</v>
      </c>
      <c r="O836" s="178">
        <f t="shared" si="353"/>
        <v>0</v>
      </c>
      <c r="P836" s="179" t="str">
        <f t="shared" si="338"/>
        <v/>
      </c>
      <c r="Q836" s="178">
        <f t="shared" si="354"/>
        <v>0</v>
      </c>
      <c r="R836" s="179" t="str">
        <f t="shared" si="339"/>
        <v/>
      </c>
      <c r="S836" s="178">
        <f t="shared" si="357"/>
        <v>0</v>
      </c>
      <c r="T836" s="179" t="str">
        <f t="shared" si="341"/>
        <v/>
      </c>
      <c r="U836" s="178">
        <f t="shared" si="358"/>
        <v>0</v>
      </c>
      <c r="V836" s="179" t="str">
        <f t="shared" si="359"/>
        <v/>
      </c>
      <c r="W836" s="157">
        <f t="shared" si="342"/>
        <v>4</v>
      </c>
    </row>
    <row r="837" spans="1:23" ht="11.25" customHeight="1" thickBot="1" x14ac:dyDescent="0.3">
      <c r="A837" s="51" t="s">
        <v>912</v>
      </c>
      <c r="B837" s="282">
        <f t="shared" si="340"/>
        <v>4</v>
      </c>
      <c r="C837" s="51"/>
      <c r="D837" s="49"/>
      <c r="E837" s="49"/>
      <c r="F837" s="395" t="s">
        <v>582</v>
      </c>
      <c r="G837" s="396"/>
      <c r="H837" s="50">
        <v>0</v>
      </c>
      <c r="I837" s="50">
        <v>0</v>
      </c>
      <c r="J837" s="135">
        <v>0</v>
      </c>
      <c r="K837" s="135">
        <v>0</v>
      </c>
      <c r="L837" s="155">
        <v>0</v>
      </c>
      <c r="O837" s="178">
        <f t="shared" si="353"/>
        <v>0</v>
      </c>
      <c r="P837" s="179" t="str">
        <f t="shared" si="338"/>
        <v/>
      </c>
      <c r="Q837" s="178">
        <f t="shared" si="354"/>
        <v>0</v>
      </c>
      <c r="R837" s="179" t="str">
        <f t="shared" si="339"/>
        <v/>
      </c>
      <c r="S837" s="178">
        <f t="shared" si="357"/>
        <v>0</v>
      </c>
      <c r="T837" s="179" t="str">
        <f t="shared" si="341"/>
        <v/>
      </c>
      <c r="U837" s="178">
        <f t="shared" si="358"/>
        <v>0</v>
      </c>
      <c r="V837" s="179" t="str">
        <f t="shared" si="359"/>
        <v/>
      </c>
      <c r="W837" s="157">
        <f t="shared" si="342"/>
        <v>4</v>
      </c>
    </row>
    <row r="838" spans="1:23" ht="12.75" customHeight="1" thickTop="1" x14ac:dyDescent="0.25">
      <c r="A838" s="12"/>
      <c r="B838" s="12"/>
      <c r="C838" s="12"/>
      <c r="D838" s="13"/>
      <c r="E838" s="13"/>
      <c r="F838" s="13"/>
      <c r="G838" s="13"/>
      <c r="H838" s="13"/>
      <c r="I838" s="13"/>
      <c r="J838" s="13"/>
      <c r="K838" s="13"/>
      <c r="L838" s="13"/>
      <c r="M838" s="106"/>
      <c r="N838" s="106"/>
    </row>
  </sheetData>
  <mergeCells count="833">
    <mergeCell ref="M818:M819"/>
    <mergeCell ref="F833:G833"/>
    <mergeCell ref="F834:G834"/>
    <mergeCell ref="F835:G835"/>
    <mergeCell ref="F836:G836"/>
    <mergeCell ref="F837:G837"/>
    <mergeCell ref="F828:G828"/>
    <mergeCell ref="F829:G829"/>
    <mergeCell ref="F830:G830"/>
    <mergeCell ref="F831:G831"/>
    <mergeCell ref="F832:G832"/>
    <mergeCell ref="F823:G823"/>
    <mergeCell ref="F824:G824"/>
    <mergeCell ref="F825:G825"/>
    <mergeCell ref="F826:G826"/>
    <mergeCell ref="F827:G827"/>
    <mergeCell ref="F818:G818"/>
    <mergeCell ref="F819:G819"/>
    <mergeCell ref="F820:G820"/>
    <mergeCell ref="F821:G821"/>
    <mergeCell ref="F822:G822"/>
    <mergeCell ref="F813:G813"/>
    <mergeCell ref="F814:G814"/>
    <mergeCell ref="F815:G815"/>
    <mergeCell ref="F816:G816"/>
    <mergeCell ref="F817:G817"/>
    <mergeCell ref="F808:G808"/>
    <mergeCell ref="F809:G809"/>
    <mergeCell ref="F810:G810"/>
    <mergeCell ref="F811:G811"/>
    <mergeCell ref="F812:G812"/>
    <mergeCell ref="F803:G803"/>
    <mergeCell ref="F804:G804"/>
    <mergeCell ref="F805:G805"/>
    <mergeCell ref="F806:G806"/>
    <mergeCell ref="F807:G807"/>
    <mergeCell ref="F798:G798"/>
    <mergeCell ref="F799:G799"/>
    <mergeCell ref="F800:G800"/>
    <mergeCell ref="F801:G801"/>
    <mergeCell ref="F802:G802"/>
    <mergeCell ref="F793:G793"/>
    <mergeCell ref="F794:G794"/>
    <mergeCell ref="F795:G795"/>
    <mergeCell ref="F796:G796"/>
    <mergeCell ref="F797:G797"/>
    <mergeCell ref="F788:G788"/>
    <mergeCell ref="F789:G789"/>
    <mergeCell ref="F790:G790"/>
    <mergeCell ref="F791:G791"/>
    <mergeCell ref="F792:G792"/>
    <mergeCell ref="F783:G783"/>
    <mergeCell ref="F784:G784"/>
    <mergeCell ref="F785:G785"/>
    <mergeCell ref="F786:G786"/>
    <mergeCell ref="F787:G787"/>
    <mergeCell ref="F778:G778"/>
    <mergeCell ref="F779:G779"/>
    <mergeCell ref="F780:G780"/>
    <mergeCell ref="F781:G781"/>
    <mergeCell ref="F782:G782"/>
    <mergeCell ref="F758:G758"/>
    <mergeCell ref="F773:G773"/>
    <mergeCell ref="F774:G774"/>
    <mergeCell ref="F775:G775"/>
    <mergeCell ref="F776:G776"/>
    <mergeCell ref="F777:G777"/>
    <mergeCell ref="F768:G768"/>
    <mergeCell ref="F769:G769"/>
    <mergeCell ref="F770:G770"/>
    <mergeCell ref="F771:G771"/>
    <mergeCell ref="F772:G772"/>
    <mergeCell ref="F763:G763"/>
    <mergeCell ref="F764:G764"/>
    <mergeCell ref="F765:G765"/>
    <mergeCell ref="F766:G766"/>
    <mergeCell ref="F767:G767"/>
    <mergeCell ref="F759:G759"/>
    <mergeCell ref="F760:G760"/>
    <mergeCell ref="F761:G761"/>
    <mergeCell ref="F762:G762"/>
    <mergeCell ref="F753:G753"/>
    <mergeCell ref="F754:G754"/>
    <mergeCell ref="F755:G755"/>
    <mergeCell ref="F756:G756"/>
    <mergeCell ref="F757:G757"/>
    <mergeCell ref="F748:G748"/>
    <mergeCell ref="F749:G749"/>
    <mergeCell ref="F750:G750"/>
    <mergeCell ref="F751:G751"/>
    <mergeCell ref="F752:G752"/>
    <mergeCell ref="F743:G743"/>
    <mergeCell ref="F744:G744"/>
    <mergeCell ref="F745:G745"/>
    <mergeCell ref="F746:G746"/>
    <mergeCell ref="F747:G747"/>
    <mergeCell ref="F738:G738"/>
    <mergeCell ref="F739:G739"/>
    <mergeCell ref="F740:G740"/>
    <mergeCell ref="F741:G741"/>
    <mergeCell ref="F742:G742"/>
    <mergeCell ref="F733:G733"/>
    <mergeCell ref="F734:G734"/>
    <mergeCell ref="F735:G735"/>
    <mergeCell ref="F736:G736"/>
    <mergeCell ref="F737:G737"/>
    <mergeCell ref="F728:G728"/>
    <mergeCell ref="F729:G729"/>
    <mergeCell ref="F730:G730"/>
    <mergeCell ref="F731:G731"/>
    <mergeCell ref="F732:G732"/>
    <mergeCell ref="F723:G723"/>
    <mergeCell ref="F724:G724"/>
    <mergeCell ref="F725:G725"/>
    <mergeCell ref="F726:G726"/>
    <mergeCell ref="F727:G727"/>
    <mergeCell ref="F718:G718"/>
    <mergeCell ref="F719:G719"/>
    <mergeCell ref="F720:G720"/>
    <mergeCell ref="F721:G721"/>
    <mergeCell ref="F722:G722"/>
    <mergeCell ref="F713:G713"/>
    <mergeCell ref="F714:G714"/>
    <mergeCell ref="F715:G715"/>
    <mergeCell ref="F716:G716"/>
    <mergeCell ref="F717:G717"/>
    <mergeCell ref="F708:G708"/>
    <mergeCell ref="F709:G709"/>
    <mergeCell ref="F710:G710"/>
    <mergeCell ref="F711:G711"/>
    <mergeCell ref="F712:G712"/>
    <mergeCell ref="F703:G703"/>
    <mergeCell ref="F704:G704"/>
    <mergeCell ref="F705:G705"/>
    <mergeCell ref="F706:G706"/>
    <mergeCell ref="F707:G707"/>
    <mergeCell ref="F698:G698"/>
    <mergeCell ref="F699:G699"/>
    <mergeCell ref="F700:G700"/>
    <mergeCell ref="F701:G701"/>
    <mergeCell ref="F702:G702"/>
    <mergeCell ref="F693:G693"/>
    <mergeCell ref="F694:G694"/>
    <mergeCell ref="F695:G695"/>
    <mergeCell ref="F696:G696"/>
    <mergeCell ref="F697:G697"/>
    <mergeCell ref="F688:G688"/>
    <mergeCell ref="F689:G689"/>
    <mergeCell ref="F690:G690"/>
    <mergeCell ref="F691:G691"/>
    <mergeCell ref="F692:G692"/>
    <mergeCell ref="F683:G683"/>
    <mergeCell ref="F684:G684"/>
    <mergeCell ref="F685:G685"/>
    <mergeCell ref="F686:G686"/>
    <mergeCell ref="F687:G687"/>
    <mergeCell ref="F678:G678"/>
    <mergeCell ref="F679:G679"/>
    <mergeCell ref="F680:G680"/>
    <mergeCell ref="F681:G681"/>
    <mergeCell ref="F682:G682"/>
    <mergeCell ref="F673:G673"/>
    <mergeCell ref="F674:G674"/>
    <mergeCell ref="F675:G675"/>
    <mergeCell ref="F676:G676"/>
    <mergeCell ref="F677:G677"/>
    <mergeCell ref="F668:G668"/>
    <mergeCell ref="F669:G669"/>
    <mergeCell ref="F670:G670"/>
    <mergeCell ref="F671:G671"/>
    <mergeCell ref="F672:G672"/>
    <mergeCell ref="F663:G663"/>
    <mergeCell ref="F664:G664"/>
    <mergeCell ref="F665:G665"/>
    <mergeCell ref="F666:G666"/>
    <mergeCell ref="F667:G667"/>
    <mergeCell ref="F658:G658"/>
    <mergeCell ref="F659:G659"/>
    <mergeCell ref="F660:G660"/>
    <mergeCell ref="F661:G661"/>
    <mergeCell ref="F662:G662"/>
    <mergeCell ref="F653:G653"/>
    <mergeCell ref="F654:G654"/>
    <mergeCell ref="F655:G655"/>
    <mergeCell ref="F656:G656"/>
    <mergeCell ref="F657:G657"/>
    <mergeCell ref="F648:G648"/>
    <mergeCell ref="F649:G649"/>
    <mergeCell ref="F650:G650"/>
    <mergeCell ref="F651:G651"/>
    <mergeCell ref="F652:G652"/>
    <mergeCell ref="F643:G643"/>
    <mergeCell ref="F644:G644"/>
    <mergeCell ref="F645:G645"/>
    <mergeCell ref="F646:G646"/>
    <mergeCell ref="F647:G647"/>
    <mergeCell ref="F638:G638"/>
    <mergeCell ref="F639:G639"/>
    <mergeCell ref="F640:G640"/>
    <mergeCell ref="F641:G641"/>
    <mergeCell ref="F642:G642"/>
    <mergeCell ref="F633:G633"/>
    <mergeCell ref="F634:G634"/>
    <mergeCell ref="F635:G635"/>
    <mergeCell ref="F636:G636"/>
    <mergeCell ref="F637:G637"/>
    <mergeCell ref="F628:G628"/>
    <mergeCell ref="F629:G629"/>
    <mergeCell ref="F630:G630"/>
    <mergeCell ref="F631:G631"/>
    <mergeCell ref="F632:G632"/>
    <mergeCell ref="F623:G623"/>
    <mergeCell ref="F624:G624"/>
    <mergeCell ref="F625:G625"/>
    <mergeCell ref="F626:G626"/>
    <mergeCell ref="F627:G627"/>
    <mergeCell ref="F618:G618"/>
    <mergeCell ref="F619:G619"/>
    <mergeCell ref="F620:G620"/>
    <mergeCell ref="F621:G621"/>
    <mergeCell ref="F622:G622"/>
    <mergeCell ref="F613:G613"/>
    <mergeCell ref="F614:G614"/>
    <mergeCell ref="F615:G615"/>
    <mergeCell ref="F616:G616"/>
    <mergeCell ref="F617:G617"/>
    <mergeCell ref="F608:G608"/>
    <mergeCell ref="F609:G609"/>
    <mergeCell ref="F610:G610"/>
    <mergeCell ref="F611:G611"/>
    <mergeCell ref="F612:G612"/>
    <mergeCell ref="F603:G603"/>
    <mergeCell ref="F604:G604"/>
    <mergeCell ref="F605:G605"/>
    <mergeCell ref="F606:G606"/>
    <mergeCell ref="F607:G607"/>
    <mergeCell ref="F598:G598"/>
    <mergeCell ref="F599:G599"/>
    <mergeCell ref="F600:G600"/>
    <mergeCell ref="F601:G601"/>
    <mergeCell ref="F602:G602"/>
    <mergeCell ref="F593:G593"/>
    <mergeCell ref="F594:G594"/>
    <mergeCell ref="F595:G595"/>
    <mergeCell ref="F596:G596"/>
    <mergeCell ref="F597:G597"/>
    <mergeCell ref="F588:G588"/>
    <mergeCell ref="F589:G589"/>
    <mergeCell ref="F590:G590"/>
    <mergeCell ref="F591:G591"/>
    <mergeCell ref="F592:G592"/>
    <mergeCell ref="F583:G583"/>
    <mergeCell ref="F584:G584"/>
    <mergeCell ref="F585:G585"/>
    <mergeCell ref="F586:G586"/>
    <mergeCell ref="F587:G587"/>
    <mergeCell ref="F578:G578"/>
    <mergeCell ref="F579:G579"/>
    <mergeCell ref="F580:G580"/>
    <mergeCell ref="F581:G581"/>
    <mergeCell ref="F582:G582"/>
    <mergeCell ref="F573:G573"/>
    <mergeCell ref="F574:G574"/>
    <mergeCell ref="F575:G575"/>
    <mergeCell ref="F576:G576"/>
    <mergeCell ref="F577:G577"/>
    <mergeCell ref="F568:G568"/>
    <mergeCell ref="F569:G569"/>
    <mergeCell ref="F570:G570"/>
    <mergeCell ref="F571:G571"/>
    <mergeCell ref="F572:G572"/>
    <mergeCell ref="F563:G563"/>
    <mergeCell ref="F564:G564"/>
    <mergeCell ref="F565:G565"/>
    <mergeCell ref="F566:G566"/>
    <mergeCell ref="F567:G567"/>
    <mergeCell ref="F558:G558"/>
    <mergeCell ref="F559:G559"/>
    <mergeCell ref="F560:G560"/>
    <mergeCell ref="F561:G561"/>
    <mergeCell ref="F562:G562"/>
    <mergeCell ref="F553:G553"/>
    <mergeCell ref="F554:G554"/>
    <mergeCell ref="F555:G555"/>
    <mergeCell ref="F556:G556"/>
    <mergeCell ref="F557:G557"/>
    <mergeCell ref="F548:G548"/>
    <mergeCell ref="F549:G549"/>
    <mergeCell ref="F550:G550"/>
    <mergeCell ref="F551:G551"/>
    <mergeCell ref="F552:G552"/>
    <mergeCell ref="F543:G543"/>
    <mergeCell ref="F544:G544"/>
    <mergeCell ref="F545:G545"/>
    <mergeCell ref="F546:G546"/>
    <mergeCell ref="F547:G547"/>
    <mergeCell ref="F538:G538"/>
    <mergeCell ref="F539:G539"/>
    <mergeCell ref="F540:G540"/>
    <mergeCell ref="F541:G541"/>
    <mergeCell ref="F542:G542"/>
    <mergeCell ref="F533:G533"/>
    <mergeCell ref="F534:G534"/>
    <mergeCell ref="F535:G535"/>
    <mergeCell ref="F536:G536"/>
    <mergeCell ref="F537:G537"/>
    <mergeCell ref="F528:G528"/>
    <mergeCell ref="F529:G529"/>
    <mergeCell ref="F530:G530"/>
    <mergeCell ref="F531:G531"/>
    <mergeCell ref="F532:G532"/>
    <mergeCell ref="F523:G523"/>
    <mergeCell ref="F524:G524"/>
    <mergeCell ref="F525:G525"/>
    <mergeCell ref="F526:G526"/>
    <mergeCell ref="F527:G527"/>
    <mergeCell ref="F518:G518"/>
    <mergeCell ref="F519:G519"/>
    <mergeCell ref="F520:G520"/>
    <mergeCell ref="F521:G521"/>
    <mergeCell ref="F522:G522"/>
    <mergeCell ref="F513:G513"/>
    <mergeCell ref="F514:G514"/>
    <mergeCell ref="F515:G515"/>
    <mergeCell ref="F516:G516"/>
    <mergeCell ref="F517:G517"/>
    <mergeCell ref="F508:G508"/>
    <mergeCell ref="F509:G509"/>
    <mergeCell ref="F510:G510"/>
    <mergeCell ref="F511:G511"/>
    <mergeCell ref="F512:G512"/>
    <mergeCell ref="F503:G503"/>
    <mergeCell ref="F504:G504"/>
    <mergeCell ref="F505:G505"/>
    <mergeCell ref="F506:G506"/>
    <mergeCell ref="F507:G507"/>
    <mergeCell ref="F498:G498"/>
    <mergeCell ref="F499:G499"/>
    <mergeCell ref="F500:G500"/>
    <mergeCell ref="F501:G501"/>
    <mergeCell ref="F502:G502"/>
    <mergeCell ref="F493:G493"/>
    <mergeCell ref="F494:G494"/>
    <mergeCell ref="F495:G495"/>
    <mergeCell ref="F496:G496"/>
    <mergeCell ref="F497:G497"/>
    <mergeCell ref="F488:G488"/>
    <mergeCell ref="F489:G489"/>
    <mergeCell ref="F490:G490"/>
    <mergeCell ref="F491:G491"/>
    <mergeCell ref="F492:G492"/>
    <mergeCell ref="F483:G483"/>
    <mergeCell ref="F484:G484"/>
    <mergeCell ref="F485:G485"/>
    <mergeCell ref="F486:G486"/>
    <mergeCell ref="F487:G487"/>
    <mergeCell ref="F478:G478"/>
    <mergeCell ref="F479:G479"/>
    <mergeCell ref="F480:G480"/>
    <mergeCell ref="F481:G481"/>
    <mergeCell ref="F482:G482"/>
    <mergeCell ref="F473:G473"/>
    <mergeCell ref="F474:G474"/>
    <mergeCell ref="F475:G475"/>
    <mergeCell ref="F476:G476"/>
    <mergeCell ref="F477:G477"/>
    <mergeCell ref="F468:G468"/>
    <mergeCell ref="F469:G469"/>
    <mergeCell ref="F470:G470"/>
    <mergeCell ref="F471:G471"/>
    <mergeCell ref="F472:G472"/>
    <mergeCell ref="F463:G463"/>
    <mergeCell ref="F464:G464"/>
    <mergeCell ref="F465:G465"/>
    <mergeCell ref="F466:G466"/>
    <mergeCell ref="F467:G467"/>
    <mergeCell ref="F458:G458"/>
    <mergeCell ref="F459:G459"/>
    <mergeCell ref="F460:G460"/>
    <mergeCell ref="F461:G461"/>
    <mergeCell ref="F462:G462"/>
    <mergeCell ref="F453:G453"/>
    <mergeCell ref="F454:G454"/>
    <mergeCell ref="F455:G455"/>
    <mergeCell ref="F456:G456"/>
    <mergeCell ref="F457:G457"/>
    <mergeCell ref="F448:G448"/>
    <mergeCell ref="F449:G449"/>
    <mergeCell ref="F450:G450"/>
    <mergeCell ref="F451:G451"/>
    <mergeCell ref="F452:G452"/>
    <mergeCell ref="F443:G443"/>
    <mergeCell ref="F444:G444"/>
    <mergeCell ref="F445:G445"/>
    <mergeCell ref="F446:G446"/>
    <mergeCell ref="F447:G447"/>
    <mergeCell ref="F438:G438"/>
    <mergeCell ref="F439:G439"/>
    <mergeCell ref="F440:G440"/>
    <mergeCell ref="F441:G441"/>
    <mergeCell ref="F442:G442"/>
    <mergeCell ref="F433:G433"/>
    <mergeCell ref="F434:G434"/>
    <mergeCell ref="F435:G435"/>
    <mergeCell ref="F436:G436"/>
    <mergeCell ref="F437:G437"/>
    <mergeCell ref="F428:G428"/>
    <mergeCell ref="F429:G429"/>
    <mergeCell ref="F430:G430"/>
    <mergeCell ref="F431:G431"/>
    <mergeCell ref="F432:G432"/>
    <mergeCell ref="F423:G423"/>
    <mergeCell ref="F424:G424"/>
    <mergeCell ref="F425:G425"/>
    <mergeCell ref="F426:G426"/>
    <mergeCell ref="F427:G427"/>
    <mergeCell ref="F418:G418"/>
    <mergeCell ref="F419:G419"/>
    <mergeCell ref="F420:G420"/>
    <mergeCell ref="F421:G421"/>
    <mergeCell ref="F422:G422"/>
    <mergeCell ref="F413:G413"/>
    <mergeCell ref="F414:G414"/>
    <mergeCell ref="F415:G415"/>
    <mergeCell ref="F416:G416"/>
    <mergeCell ref="F417:G417"/>
    <mergeCell ref="F408:G408"/>
    <mergeCell ref="F409:G409"/>
    <mergeCell ref="F410:G410"/>
    <mergeCell ref="F411:G411"/>
    <mergeCell ref="F412:G412"/>
    <mergeCell ref="F403:G403"/>
    <mergeCell ref="F404:G404"/>
    <mergeCell ref="F405:G405"/>
    <mergeCell ref="F406:G406"/>
    <mergeCell ref="F407:G407"/>
    <mergeCell ref="F398:G398"/>
    <mergeCell ref="F399:G399"/>
    <mergeCell ref="F400:G400"/>
    <mergeCell ref="F401:G401"/>
    <mergeCell ref="F402:G402"/>
    <mergeCell ref="F393:G393"/>
    <mergeCell ref="F394:G394"/>
    <mergeCell ref="F395:G395"/>
    <mergeCell ref="F396:G396"/>
    <mergeCell ref="F397:G397"/>
    <mergeCell ref="F388:G388"/>
    <mergeCell ref="F389:G389"/>
    <mergeCell ref="F390:G390"/>
    <mergeCell ref="F391:G391"/>
    <mergeCell ref="F392:G392"/>
    <mergeCell ref="F383:G383"/>
    <mergeCell ref="F384:G384"/>
    <mergeCell ref="F385:G385"/>
    <mergeCell ref="F386:G386"/>
    <mergeCell ref="F387:G387"/>
    <mergeCell ref="F378:G378"/>
    <mergeCell ref="F379:G379"/>
    <mergeCell ref="F380:G380"/>
    <mergeCell ref="F381:G381"/>
    <mergeCell ref="F382:G382"/>
    <mergeCell ref="F373:G373"/>
    <mergeCell ref="F374:G374"/>
    <mergeCell ref="F375:G375"/>
    <mergeCell ref="F376:G376"/>
    <mergeCell ref="F377:G377"/>
    <mergeCell ref="F368:G368"/>
    <mergeCell ref="F369:G369"/>
    <mergeCell ref="F370:G370"/>
    <mergeCell ref="F371:G371"/>
    <mergeCell ref="F372:G372"/>
    <mergeCell ref="F363:G363"/>
    <mergeCell ref="F364:G364"/>
    <mergeCell ref="F365:G365"/>
    <mergeCell ref="F366:G366"/>
    <mergeCell ref="F367:G367"/>
    <mergeCell ref="F358:G358"/>
    <mergeCell ref="F359:G359"/>
    <mergeCell ref="F360:G360"/>
    <mergeCell ref="F361:G361"/>
    <mergeCell ref="F362:G362"/>
    <mergeCell ref="F353:G353"/>
    <mergeCell ref="F354:G354"/>
    <mergeCell ref="F355:G355"/>
    <mergeCell ref="F356:G356"/>
    <mergeCell ref="F357:G357"/>
    <mergeCell ref="F348:G348"/>
    <mergeCell ref="F349:G349"/>
    <mergeCell ref="F350:G350"/>
    <mergeCell ref="F351:G351"/>
    <mergeCell ref="F352:G352"/>
    <mergeCell ref="F343:G343"/>
    <mergeCell ref="F344:G344"/>
    <mergeCell ref="F345:G345"/>
    <mergeCell ref="F346:G346"/>
    <mergeCell ref="F347:G347"/>
    <mergeCell ref="F338:G338"/>
    <mergeCell ref="F339:G339"/>
    <mergeCell ref="F340:G340"/>
    <mergeCell ref="F341:G341"/>
    <mergeCell ref="F342:G342"/>
    <mergeCell ref="F333:G333"/>
    <mergeCell ref="F334:G334"/>
    <mergeCell ref="F335:G335"/>
    <mergeCell ref="F336:G336"/>
    <mergeCell ref="F337:G337"/>
    <mergeCell ref="F328:G328"/>
    <mergeCell ref="F329:G329"/>
    <mergeCell ref="F330:G330"/>
    <mergeCell ref="F331:G331"/>
    <mergeCell ref="F332:G332"/>
    <mergeCell ref="F322:G322"/>
    <mergeCell ref="F323:G323"/>
    <mergeCell ref="F325:G325"/>
    <mergeCell ref="F326:G326"/>
    <mergeCell ref="F327:G327"/>
    <mergeCell ref="F317:G317"/>
    <mergeCell ref="F318:G318"/>
    <mergeCell ref="F319:G319"/>
    <mergeCell ref="F320:G320"/>
    <mergeCell ref="F321:G321"/>
    <mergeCell ref="F324:G324"/>
    <mergeCell ref="F312:G312"/>
    <mergeCell ref="F313:G313"/>
    <mergeCell ref="F314:G314"/>
    <mergeCell ref="F315:G315"/>
    <mergeCell ref="F316:G316"/>
    <mergeCell ref="F307:G307"/>
    <mergeCell ref="F308:G308"/>
    <mergeCell ref="F309:G309"/>
    <mergeCell ref="F310:G310"/>
    <mergeCell ref="F311:G311"/>
    <mergeCell ref="F302:G302"/>
    <mergeCell ref="F303:G303"/>
    <mergeCell ref="F304:G304"/>
    <mergeCell ref="F305:G305"/>
    <mergeCell ref="F306:G306"/>
    <mergeCell ref="F297:G297"/>
    <mergeCell ref="F298:G298"/>
    <mergeCell ref="F299:G299"/>
    <mergeCell ref="F300:G300"/>
    <mergeCell ref="F301:G301"/>
    <mergeCell ref="F291:G291"/>
    <mergeCell ref="F292:G292"/>
    <mergeCell ref="F293:G293"/>
    <mergeCell ref="F295:G295"/>
    <mergeCell ref="F296:G296"/>
    <mergeCell ref="F286:G286"/>
    <mergeCell ref="F287:G287"/>
    <mergeCell ref="F288:G288"/>
    <mergeCell ref="F289:G289"/>
    <mergeCell ref="F290:G290"/>
    <mergeCell ref="F294:G294"/>
    <mergeCell ref="F281:G281"/>
    <mergeCell ref="F282:G282"/>
    <mergeCell ref="F283:G283"/>
    <mergeCell ref="F284:G284"/>
    <mergeCell ref="F285:G285"/>
    <mergeCell ref="F276:G276"/>
    <mergeCell ref="F277:G277"/>
    <mergeCell ref="F278:G278"/>
    <mergeCell ref="F279:G279"/>
    <mergeCell ref="F280:G280"/>
    <mergeCell ref="F271:G271"/>
    <mergeCell ref="F272:G272"/>
    <mergeCell ref="F273:G273"/>
    <mergeCell ref="F274:G274"/>
    <mergeCell ref="F275:G275"/>
    <mergeCell ref="F266:G266"/>
    <mergeCell ref="F267:G267"/>
    <mergeCell ref="F268:G268"/>
    <mergeCell ref="F269:G269"/>
    <mergeCell ref="F270:G270"/>
    <mergeCell ref="F261:G261"/>
    <mergeCell ref="F262:G262"/>
    <mergeCell ref="F263:G263"/>
    <mergeCell ref="F264:G264"/>
    <mergeCell ref="F265:G265"/>
    <mergeCell ref="F256:G256"/>
    <mergeCell ref="F257:G257"/>
    <mergeCell ref="F258:G258"/>
    <mergeCell ref="F259:G259"/>
    <mergeCell ref="F260:G260"/>
    <mergeCell ref="F251:G251"/>
    <mergeCell ref="F252:G252"/>
    <mergeCell ref="F253:G253"/>
    <mergeCell ref="F254:G254"/>
    <mergeCell ref="F255:G255"/>
    <mergeCell ref="F246:G246"/>
    <mergeCell ref="F247:G247"/>
    <mergeCell ref="F248:G248"/>
    <mergeCell ref="F249:G249"/>
    <mergeCell ref="F250:G250"/>
    <mergeCell ref="F241:G241"/>
    <mergeCell ref="F242:G242"/>
    <mergeCell ref="F243:G243"/>
    <mergeCell ref="F244:G244"/>
    <mergeCell ref="F245:G245"/>
    <mergeCell ref="F236:G236"/>
    <mergeCell ref="F237:G237"/>
    <mergeCell ref="F238:G238"/>
    <mergeCell ref="F239:G239"/>
    <mergeCell ref="F240:G240"/>
    <mergeCell ref="F231:G231"/>
    <mergeCell ref="F232:G232"/>
    <mergeCell ref="F233:G233"/>
    <mergeCell ref="F234:G234"/>
    <mergeCell ref="F235:G235"/>
    <mergeCell ref="F226:G226"/>
    <mergeCell ref="F227:G227"/>
    <mergeCell ref="F228:G228"/>
    <mergeCell ref="F229:G229"/>
    <mergeCell ref="F230:G230"/>
    <mergeCell ref="F221:G221"/>
    <mergeCell ref="F222:G222"/>
    <mergeCell ref="F223:G223"/>
    <mergeCell ref="F224:G224"/>
    <mergeCell ref="F225:G225"/>
    <mergeCell ref="F216:G216"/>
    <mergeCell ref="F217:G217"/>
    <mergeCell ref="F218:G218"/>
    <mergeCell ref="F219:G219"/>
    <mergeCell ref="F220:G220"/>
    <mergeCell ref="F211:G211"/>
    <mergeCell ref="F212:G212"/>
    <mergeCell ref="F213:G213"/>
    <mergeCell ref="F214:G214"/>
    <mergeCell ref="F215:G215"/>
    <mergeCell ref="F206:G206"/>
    <mergeCell ref="F207:G207"/>
    <mergeCell ref="F208:G208"/>
    <mergeCell ref="F209:G209"/>
    <mergeCell ref="F210:G210"/>
    <mergeCell ref="F201:G201"/>
    <mergeCell ref="F202:G202"/>
    <mergeCell ref="F203:G203"/>
    <mergeCell ref="F204:G204"/>
    <mergeCell ref="F205:G205"/>
    <mergeCell ref="F196:G196"/>
    <mergeCell ref="F197:G197"/>
    <mergeCell ref="F198:G198"/>
    <mergeCell ref="F199:G199"/>
    <mergeCell ref="F200:G200"/>
    <mergeCell ref="F191:G191"/>
    <mergeCell ref="F192:G192"/>
    <mergeCell ref="F193:G193"/>
    <mergeCell ref="F194:G194"/>
    <mergeCell ref="F195:G195"/>
    <mergeCell ref="F186:G186"/>
    <mergeCell ref="F187:G187"/>
    <mergeCell ref="F188:G188"/>
    <mergeCell ref="F189:G189"/>
    <mergeCell ref="F190:G190"/>
    <mergeCell ref="F181:G181"/>
    <mergeCell ref="F182:G182"/>
    <mergeCell ref="F183:G183"/>
    <mergeCell ref="F184:G184"/>
    <mergeCell ref="F185:G185"/>
    <mergeCell ref="F176:G176"/>
    <mergeCell ref="F177:G177"/>
    <mergeCell ref="F178:G178"/>
    <mergeCell ref="F179:G179"/>
    <mergeCell ref="F180:G180"/>
    <mergeCell ref="F171:G171"/>
    <mergeCell ref="F172:G172"/>
    <mergeCell ref="F173:G173"/>
    <mergeCell ref="F174:G174"/>
    <mergeCell ref="F175:G175"/>
    <mergeCell ref="F166:G166"/>
    <mergeCell ref="F167:G167"/>
    <mergeCell ref="F168:G168"/>
    <mergeCell ref="F169:G169"/>
    <mergeCell ref="F170:G170"/>
    <mergeCell ref="F161:G161"/>
    <mergeCell ref="F162:G162"/>
    <mergeCell ref="F163:G163"/>
    <mergeCell ref="F164:G164"/>
    <mergeCell ref="F165:G165"/>
    <mergeCell ref="F156:G156"/>
    <mergeCell ref="F157:G157"/>
    <mergeCell ref="F158:G158"/>
    <mergeCell ref="F159:G159"/>
    <mergeCell ref="F160:G160"/>
    <mergeCell ref="F151:G151"/>
    <mergeCell ref="F152:G152"/>
    <mergeCell ref="F153:G153"/>
    <mergeCell ref="F154:G154"/>
    <mergeCell ref="F155:G155"/>
    <mergeCell ref="F146:G146"/>
    <mergeCell ref="F147:G147"/>
    <mergeCell ref="F148:G148"/>
    <mergeCell ref="F149:G149"/>
    <mergeCell ref="F150:G150"/>
    <mergeCell ref="F141:G141"/>
    <mergeCell ref="F142:G142"/>
    <mergeCell ref="F143:G143"/>
    <mergeCell ref="F144:G144"/>
    <mergeCell ref="F145:G145"/>
    <mergeCell ref="F136:G136"/>
    <mergeCell ref="F137:G137"/>
    <mergeCell ref="F138:G138"/>
    <mergeCell ref="F139:G139"/>
    <mergeCell ref="F140:G140"/>
    <mergeCell ref="F131:G131"/>
    <mergeCell ref="F132:G132"/>
    <mergeCell ref="F133:G133"/>
    <mergeCell ref="F134:G134"/>
    <mergeCell ref="F135:G135"/>
    <mergeCell ref="F126:G126"/>
    <mergeCell ref="F127:G127"/>
    <mergeCell ref="F128:G128"/>
    <mergeCell ref="F129:G129"/>
    <mergeCell ref="F130:G130"/>
    <mergeCell ref="F121:G121"/>
    <mergeCell ref="F122:G122"/>
    <mergeCell ref="F123:G123"/>
    <mergeCell ref="F124:G124"/>
    <mergeCell ref="F125:G125"/>
    <mergeCell ref="F116:G116"/>
    <mergeCell ref="F117:G117"/>
    <mergeCell ref="F118:G118"/>
    <mergeCell ref="F119:G119"/>
    <mergeCell ref="F120:G120"/>
    <mergeCell ref="F111:G111"/>
    <mergeCell ref="F112:G112"/>
    <mergeCell ref="F113:G113"/>
    <mergeCell ref="F114:G114"/>
    <mergeCell ref="F115:G115"/>
    <mergeCell ref="F106:G106"/>
    <mergeCell ref="F107:G107"/>
    <mergeCell ref="F108:G108"/>
    <mergeCell ref="F109:G109"/>
    <mergeCell ref="F110:G110"/>
    <mergeCell ref="F101:G101"/>
    <mergeCell ref="F102:G102"/>
    <mergeCell ref="F103:G103"/>
    <mergeCell ref="F104:G104"/>
    <mergeCell ref="F105:G105"/>
    <mergeCell ref="F96:G96"/>
    <mergeCell ref="F97:G97"/>
    <mergeCell ref="F98:G98"/>
    <mergeCell ref="F99:G99"/>
    <mergeCell ref="F100:G100"/>
    <mergeCell ref="F91:G91"/>
    <mergeCell ref="F92:G92"/>
    <mergeCell ref="F93:G93"/>
    <mergeCell ref="F94:G94"/>
    <mergeCell ref="F95:G95"/>
    <mergeCell ref="F86:G86"/>
    <mergeCell ref="F87:G87"/>
    <mergeCell ref="F88:G88"/>
    <mergeCell ref="F89:G89"/>
    <mergeCell ref="F90:G90"/>
    <mergeCell ref="F81:G81"/>
    <mergeCell ref="F82:G82"/>
    <mergeCell ref="F83:G83"/>
    <mergeCell ref="F84:G84"/>
    <mergeCell ref="F85:G85"/>
    <mergeCell ref="F76:G76"/>
    <mergeCell ref="F77:G77"/>
    <mergeCell ref="F78:G78"/>
    <mergeCell ref="F79:G79"/>
    <mergeCell ref="F80:G80"/>
    <mergeCell ref="F71:G71"/>
    <mergeCell ref="F72:G72"/>
    <mergeCell ref="F73:G73"/>
    <mergeCell ref="F74:G74"/>
    <mergeCell ref="F75:G75"/>
    <mergeCell ref="F66:G66"/>
    <mergeCell ref="F67:G67"/>
    <mergeCell ref="F68:G68"/>
    <mergeCell ref="F69:G69"/>
    <mergeCell ref="F70:G70"/>
    <mergeCell ref="F62:G62"/>
    <mergeCell ref="F63:G63"/>
    <mergeCell ref="F64:G64"/>
    <mergeCell ref="F65:G65"/>
    <mergeCell ref="F56:G56"/>
    <mergeCell ref="F57:G57"/>
    <mergeCell ref="F58:G58"/>
    <mergeCell ref="F59:G59"/>
    <mergeCell ref="F60:G60"/>
    <mergeCell ref="F53:G53"/>
    <mergeCell ref="F54:G54"/>
    <mergeCell ref="F55:G55"/>
    <mergeCell ref="F46:G46"/>
    <mergeCell ref="F47:G47"/>
    <mergeCell ref="F48:G48"/>
    <mergeCell ref="F49:G49"/>
    <mergeCell ref="F50:G50"/>
    <mergeCell ref="F61:G61"/>
    <mergeCell ref="F44:G44"/>
    <mergeCell ref="F45:G45"/>
    <mergeCell ref="F36:G36"/>
    <mergeCell ref="F37:G37"/>
    <mergeCell ref="F38:G38"/>
    <mergeCell ref="F39:G39"/>
    <mergeCell ref="F40:G40"/>
    <mergeCell ref="F51:G51"/>
    <mergeCell ref="F52:G52"/>
    <mergeCell ref="F35:G35"/>
    <mergeCell ref="F26:G26"/>
    <mergeCell ref="F27:G27"/>
    <mergeCell ref="F28:G28"/>
    <mergeCell ref="F29:G29"/>
    <mergeCell ref="F30:G30"/>
    <mergeCell ref="F41:G41"/>
    <mergeCell ref="F42:G42"/>
    <mergeCell ref="F43:G43"/>
    <mergeCell ref="M27:M30"/>
    <mergeCell ref="M49:M52"/>
    <mergeCell ref="O5:O8"/>
    <mergeCell ref="O3:O4"/>
    <mergeCell ref="M768:M770"/>
    <mergeCell ref="A3:L3"/>
    <mergeCell ref="F21:G21"/>
    <mergeCell ref="F22:G22"/>
    <mergeCell ref="F23:G23"/>
    <mergeCell ref="F24:G24"/>
    <mergeCell ref="F25:G25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31:G31"/>
    <mergeCell ref="F32:G32"/>
    <mergeCell ref="F33:G33"/>
    <mergeCell ref="F34:G34"/>
  </mergeCells>
  <phoneticPr fontId="10" type="noConversion"/>
  <conditionalFormatting sqref="H10:H144 I573:J617 I571:J571 I569:J569 I558:J560 I554:J556 I549:J552 I544:J547 I536:J542 I531:J534 I526:J526 I524:J524 I517:J521 I510:J515 I502:J508 I500:J500 I494:J496 I490:J492 I488:J488 I486:J486 I484:J484 I482:J482 I480:J480 I478:J478 I476:J476 I474:J474 I471:J472 I469:J469 I467:J467 I462:J465 I447:J460 I445:J445 I441:J443 I438:J439 I436:J436 I432:J433 I430:J430 I428:J428 I421:J425 I412:J418 I410:J410 I407:J407 I405:J405 I397:J401 I394:J394 I391:J391 I386:J387 I383:J383 I381:J381 I379:J379 I374:J376 I370:J371 I368:J368 I366:J366 I364:J364 I362:J362 I360:J360 I352:J357 I350:J350 I346:J346 I344:J344 I342:J342 I340:J340 I338:J338 I336:J336 I334:J334 I332:J332 I324:J328 I321:J322 I304:J319 I302:J302 I300:J300 I287:J298 I283:J285 I274:J281 I272:J272 I266:J270 I262:J264 I260:J260 I258:J258 I254:J255 I251:J251 I248:J249 I246:J246 I243:J244 I239:J240 I225:J237 I223:J223 I219:J219 I215:J217 I210:J213 I190:J207 I188:J188 I184:J186 I178:J181 I173:J176 I171:J171 I167:J168 I165:J165 I158:J163 I156:J156 I152:J154 I150:J150 I140:J144 I130:J138 I109:J128 I98:J107 I48:J96 I45:J46 I26:J43 I21:J24 I19:J19 I17:J17 I825:J826 I817:J823 I801:J801 I786:J791 I761:J784 I747:J754 I745:J745 I740:J742 I738:J738 I698:J703 I678:J695 I675:J676 I671:J672 I665:J669 I663:J663 I660:J661 I655:J658 I652:J653 I641:J650 I634:J639 I630:J632 I623:J628 I620:J620 H349:H528 I562:J566 I828:J837 I804:J812 I793:J796 I726:J736 I717:J723 I706:J713 I10:J15 H348:J348 F12:F135 F138:F280 F282:F293 L16:L18 L182 K565:L565 K580:L580 K582:L582 K584:L585 K610:L617 K707:L713 K731:L732 K794:L796 K805:L806 K808:L812 K829:L837 F295:F418 L300 L391 L394 L441 L581 L801 L804 L272 L502 L510 L29 L749 L818:L819 L821:L823 L825:L826 L152:L154 L321:L322 L488 L738 L793 L248:L249 L244 L454 L478 L480 L482 L490:L492 L531:L534 L21:L23 L158:L163 L156 L251 L254:L255 L150 L474 L698:L703 L113 L554 L549:L550 L142:L144 L536:L542 L109 L115:L118 L398 L410 L451 L430 L456:L457 L467 L494 L305:L308 L459 L761 L302 F759:F837 H759:H837 I759:J759 L204:L205 L215:L217 L630:L631 L665 L334 L362 L364 L374 L381 L235:L237 L126:L127 L42 L623:L628 L173:L176 L229:L233 L274:L281 L120:L124 L544:L547 L558 L266:L270 L246 L260 L400:L401 L438 L447:L448 L471:L472 L184:L186 L675:L676 L786:L791 L130:L137 L225:L227 L462:L465 L287:L296 L310:L318 L283:L285 L740:L742 L752:L754 L763:L776 L778:L784 L262:L264 L45:L46 L211:L213 L421:L423 L469 L726:L729 L100:L107 I146:J148 H146:H347 I18:K18 I16:K16 I20:L20 I155:L155 I157:L157 I164:L164 I166:L166 I172:L172 I177:L177 I187:L187 I218:L218 I238:L238 I245:L245 I247:L247 I250:L250 I259:L259 I261:L261 I323:L323 I333:L333 I335:L335 I337:L337 I339:L339 I341:L341 I343:L343 I345:L345 I347:L347 I349:L349 I351:L351 I365:L365 I367:L367 I369:L369 I382:L382 I406:L406 I411:L411 I429:L429 I431:L431 I437:L437 I440:L440 I444:L444 I446:L446 I461:L461 I466:L466 I468:L468 I470:L470 I473:L473 I475:L475 I477:L477 I479:L479 I481:L481 I483:L483 I485:L485 I487:L487 I489:L489 I493:L493 I501:L501 I509:L509 I516:L516 I525:L525 I530:L530 I535:L535 I543:L543 I548:L548 I553:L553 I557:L557 I561:L561 I570:L570 I572:L572 I618:L619 I629:L629 I633:L633 I640:L640 I651:L651 I654:L654 I659:L659 I662:L662 I670:L670 I677:L677 I739:L739 I746:L746 I755:L755 I785:L785 I792:L792 I824:L824 I827:L827 F420:F433 F435:F493 I664:L664 I756:J757 F495:F757 L756:L759 H530:H757 L678:L688 L190:L201 K734:L734 K11:L14 I25:L25 I44:L44 I47:L47 I97:L97 I108:L108 I129:L129 I139:L139 I149:L149 I151:L151 I169:L170 I182:K183 I189:L189 I208:L209 I214:L214 I220:L222 I224:L224 I241:L242 I252:L253 I256:L257 I265:L265 I271:L271 I273:L273 I282:L282 I286:L286 I299:L299 I301:L301 I303:L303 I320:L320 I329:L331 I358:L359 I361:L361 I363:L363 I372:L373 I377:L378 I380:L380 I384:L385 I388:L390 I392:L393 I402:L404 I408:L409 I419:L420 I426:L427 I434:L435 I497:L499 I522:L523 I527:L528 I567:L568 K587:L606 I395:L396 K577:L578 I621:L622 I696:L697 I673:L674 I704:L705 I714:L716 K720:L722 I724:L725 I737:L737 I743:L744 I760:L760 I797:L800 I802:L803 I813:L816">
    <cfRule type="expression" dxfId="614" priority="662">
      <formula>AND(#REF!=0,#REF!=1,LEFT($A10,1)="A")</formula>
    </cfRule>
    <cfRule type="expression" dxfId="613" priority="663">
      <formula>#REF!=3</formula>
    </cfRule>
    <cfRule type="expression" dxfId="612" priority="664">
      <formula>#REF!=2</formula>
    </cfRule>
    <cfRule type="expression" dxfId="611" priority="665">
      <formula>AND(#REF!=1,OR(#REF!&lt;&gt;0,LEFT($A10,1)="I",LEFT($A10,1)="C",RIGHT($A10,1)="X"))</formula>
    </cfRule>
    <cfRule type="expression" dxfId="610" priority="666">
      <formula>#REF!=0</formula>
    </cfRule>
  </conditionalFormatting>
  <conditionalFormatting sqref="F10">
    <cfRule type="expression" dxfId="609" priority="2387">
      <formula>AND(#REF!=0,#REF!=1,LEFT($A11,1)="A")</formula>
    </cfRule>
    <cfRule type="expression" dxfId="608" priority="2388">
      <formula>#REF!=3</formula>
    </cfRule>
    <cfRule type="expression" dxfId="607" priority="2389">
      <formula>#REF!=2</formula>
    </cfRule>
    <cfRule type="expression" dxfId="606" priority="2390">
      <formula>AND(#REF!=1,OR(#REF!&lt;&gt;0,LEFT($A11,1)="I",LEFT($A11,1)="C",RIGHT($A11,1)="X"))</formula>
    </cfRule>
    <cfRule type="expression" dxfId="605" priority="2391">
      <formula>#REF!=0</formula>
    </cfRule>
  </conditionalFormatting>
  <conditionalFormatting sqref="F494">
    <cfRule type="expression" dxfId="604" priority="230">
      <formula>AND(#REF!=0,#REF!=1,LEFT($A494,1)="A")</formula>
    </cfRule>
    <cfRule type="expression" dxfId="603" priority="231">
      <formula>#REF!=3</formula>
    </cfRule>
    <cfRule type="expression" dxfId="602" priority="232">
      <formula>#REF!=2</formula>
    </cfRule>
    <cfRule type="expression" dxfId="601" priority="233">
      <formula>AND(#REF!=1,OR(#REF!&lt;&gt;0,LEFT($A494,1)="I",LEFT($A494,1)="C",RIGHT($A494,1)="X"))</formula>
    </cfRule>
    <cfRule type="expression" dxfId="600" priority="234">
      <formula>#REF!=0</formula>
    </cfRule>
  </conditionalFormatting>
  <conditionalFormatting sqref="F136">
    <cfRule type="expression" dxfId="599" priority="225">
      <formula>AND(#REF!=0,#REF!=1,LEFT($A136,1)="A")</formula>
    </cfRule>
    <cfRule type="expression" dxfId="598" priority="226">
      <formula>#REF!=3</formula>
    </cfRule>
    <cfRule type="expression" dxfId="597" priority="227">
      <formula>#REF!=2</formula>
    </cfRule>
    <cfRule type="expression" dxfId="596" priority="228">
      <formula>AND(#REF!=1,OR(#REF!&lt;&gt;0,LEFT($A136,1)="I",LEFT($A136,1)="C",RIGHT($A136,1)="X"))</formula>
    </cfRule>
    <cfRule type="expression" dxfId="595" priority="229">
      <formula>#REF!=0</formula>
    </cfRule>
  </conditionalFormatting>
  <conditionalFormatting sqref="F137">
    <cfRule type="expression" dxfId="594" priority="220">
      <formula>AND(#REF!=0,#REF!=1,LEFT($A137,1)="A")</formula>
    </cfRule>
    <cfRule type="expression" dxfId="593" priority="221">
      <formula>#REF!=3</formula>
    </cfRule>
    <cfRule type="expression" dxfId="592" priority="222">
      <formula>#REF!=2</formula>
    </cfRule>
    <cfRule type="expression" dxfId="591" priority="223">
      <formula>AND(#REF!=1,OR(#REF!&lt;&gt;0,LEFT($A137,1)="I",LEFT($A137,1)="C",RIGHT($A137,1)="X"))</formula>
    </cfRule>
    <cfRule type="expression" dxfId="590" priority="224">
      <formula>#REF!=0</formula>
    </cfRule>
  </conditionalFormatting>
  <conditionalFormatting sqref="F281">
    <cfRule type="expression" dxfId="589" priority="215">
      <formula>AND(#REF!=0,#REF!=1,LEFT($A281,1)="A")</formula>
    </cfRule>
    <cfRule type="expression" dxfId="588" priority="216">
      <formula>#REF!=3</formula>
    </cfRule>
    <cfRule type="expression" dxfId="587" priority="217">
      <formula>#REF!=2</formula>
    </cfRule>
    <cfRule type="expression" dxfId="586" priority="218">
      <formula>AND(#REF!=1,OR(#REF!&lt;&gt;0,LEFT($A281,1)="I",LEFT($A281,1)="C",RIGHT($A281,1)="X"))</formula>
    </cfRule>
    <cfRule type="expression" dxfId="585" priority="219">
      <formula>#REF!=0</formula>
    </cfRule>
  </conditionalFormatting>
  <conditionalFormatting sqref="F294">
    <cfRule type="expression" dxfId="584" priority="210">
      <formula>AND(#REF!=0,#REF!=1,LEFT($A294,1)="A")</formula>
    </cfRule>
    <cfRule type="expression" dxfId="583" priority="211">
      <formula>#REF!=3</formula>
    </cfRule>
    <cfRule type="expression" dxfId="582" priority="212">
      <formula>#REF!=2</formula>
    </cfRule>
    <cfRule type="expression" dxfId="581" priority="213">
      <formula>AND(#REF!=1,OR(#REF!&lt;&gt;0,LEFT($A294,1)="I",LEFT($A294,1)="C",RIGHT($A294,1)="X"))</formula>
    </cfRule>
    <cfRule type="expression" dxfId="580" priority="214">
      <formula>#REF!=0</formula>
    </cfRule>
  </conditionalFormatting>
  <conditionalFormatting sqref="K10">
    <cfRule type="expression" dxfId="579" priority="205">
      <formula>AND(#REF!=0,#REF!=1,LEFT($A10,1)="A")</formula>
    </cfRule>
    <cfRule type="expression" dxfId="578" priority="206">
      <formula>#REF!=3</formula>
    </cfRule>
    <cfRule type="expression" dxfId="577" priority="207">
      <formula>#REF!=2</formula>
    </cfRule>
    <cfRule type="expression" dxfId="576" priority="208">
      <formula>AND(#REF!=1,OR(#REF!&lt;&gt;0,LEFT($A10,1)="I",LEFT($A10,1)="C",RIGHT($A10,1)="X"))</formula>
    </cfRule>
    <cfRule type="expression" dxfId="575" priority="209">
      <formula>#REF!=0</formula>
    </cfRule>
  </conditionalFormatting>
  <conditionalFormatting sqref="L10">
    <cfRule type="expression" dxfId="574" priority="200">
      <formula>AND(#REF!=0,#REF!=1,LEFT($A10,1)="A")</formula>
    </cfRule>
    <cfRule type="expression" dxfId="573" priority="201">
      <formula>#REF!=3</formula>
    </cfRule>
    <cfRule type="expression" dxfId="572" priority="202">
      <formula>#REF!=2</formula>
    </cfRule>
    <cfRule type="expression" dxfId="571" priority="203">
      <formula>AND(#REF!=1,OR(#REF!&lt;&gt;0,LEFT($A10,1)="I",LEFT($A10,1)="C",RIGHT($A10,1)="X"))</formula>
    </cfRule>
    <cfRule type="expression" dxfId="570" priority="204">
      <formula>#REF!=0</formula>
    </cfRule>
  </conditionalFormatting>
  <conditionalFormatting sqref="L817">
    <cfRule type="expression" dxfId="569" priority="195">
      <formula>AND(#REF!=0,#REF!=1,LEFT($A817,1)="A")</formula>
    </cfRule>
    <cfRule type="expression" dxfId="568" priority="196">
      <formula>#REF!=3</formula>
    </cfRule>
    <cfRule type="expression" dxfId="567" priority="197">
      <formula>#REF!=2</formula>
    </cfRule>
    <cfRule type="expression" dxfId="566" priority="198">
      <formula>AND(#REF!=1,OR(#REF!&lt;&gt;0,LEFT($A817,1)="I",LEFT($A817,1)="C",RIGHT($A817,1)="X"))</formula>
    </cfRule>
    <cfRule type="expression" dxfId="565" priority="199">
      <formula>#REF!=0</formula>
    </cfRule>
  </conditionalFormatting>
  <conditionalFormatting sqref="L243">
    <cfRule type="expression" dxfId="564" priority="190">
      <formula>AND(#REF!=0,#REF!=1,LEFT($A243,1)="A")</formula>
    </cfRule>
    <cfRule type="expression" dxfId="563" priority="191">
      <formula>#REF!=3</formula>
    </cfRule>
    <cfRule type="expression" dxfId="562" priority="192">
      <formula>#REF!=2</formula>
    </cfRule>
    <cfRule type="expression" dxfId="561" priority="193">
      <formula>AND(#REF!=1,OR(#REF!&lt;&gt;0,LEFT($A243,1)="I",LEFT($A243,1)="C",RIGHT($A243,1)="X"))</formula>
    </cfRule>
    <cfRule type="expression" dxfId="560" priority="194">
      <formula>#REF!=0</formula>
    </cfRule>
  </conditionalFormatting>
  <conditionalFormatting sqref="L452">
    <cfRule type="expression" dxfId="559" priority="185">
      <formula>AND(#REF!=0,#REF!=1,LEFT($A452,1)="A")</formula>
    </cfRule>
    <cfRule type="expression" dxfId="558" priority="186">
      <formula>#REF!=3</formula>
    </cfRule>
    <cfRule type="expression" dxfId="557" priority="187">
      <formula>#REF!=2</formula>
    </cfRule>
    <cfRule type="expression" dxfId="556" priority="188">
      <formula>AND(#REF!=1,OR(#REF!&lt;&gt;0,LEFT($A452,1)="I",LEFT($A452,1)="C",RIGHT($A452,1)="X"))</formula>
    </cfRule>
    <cfRule type="expression" dxfId="555" priority="189">
      <formula>#REF!=0</formula>
    </cfRule>
  </conditionalFormatting>
  <conditionalFormatting sqref="L453">
    <cfRule type="expression" dxfId="554" priority="180">
      <formula>AND(#REF!=0,#REF!=1,LEFT($A453,1)="A")</formula>
    </cfRule>
    <cfRule type="expression" dxfId="553" priority="181">
      <formula>#REF!=3</formula>
    </cfRule>
    <cfRule type="expression" dxfId="552" priority="182">
      <formula>#REF!=2</formula>
    </cfRule>
    <cfRule type="expression" dxfId="551" priority="183">
      <formula>AND(#REF!=1,OR(#REF!&lt;&gt;0,LEFT($A453,1)="I",LEFT($A453,1)="C",RIGHT($A453,1)="X"))</formula>
    </cfRule>
    <cfRule type="expression" dxfId="550" priority="184">
      <formula>#REF!=0</formula>
    </cfRule>
  </conditionalFormatting>
  <conditionalFormatting sqref="L455">
    <cfRule type="expression" dxfId="549" priority="175">
      <formula>AND(#REF!=0,#REF!=1,LEFT($A455,1)="A")</formula>
    </cfRule>
    <cfRule type="expression" dxfId="548" priority="176">
      <formula>#REF!=3</formula>
    </cfRule>
    <cfRule type="expression" dxfId="547" priority="177">
      <formula>#REF!=2</formula>
    </cfRule>
    <cfRule type="expression" dxfId="546" priority="178">
      <formula>AND(#REF!=1,OR(#REF!&lt;&gt;0,LEFT($A455,1)="I",LEFT($A455,1)="C",RIGHT($A455,1)="X"))</formula>
    </cfRule>
    <cfRule type="expression" dxfId="545" priority="179">
      <formula>#REF!=0</formula>
    </cfRule>
  </conditionalFormatting>
  <conditionalFormatting sqref="L486">
    <cfRule type="expression" dxfId="544" priority="170">
      <formula>AND(#REF!=0,#REF!=1,LEFT($A486,1)="A")</formula>
    </cfRule>
    <cfRule type="expression" dxfId="543" priority="171">
      <formula>#REF!=3</formula>
    </cfRule>
    <cfRule type="expression" dxfId="542" priority="172">
      <formula>#REF!=2</formula>
    </cfRule>
    <cfRule type="expression" dxfId="541" priority="173">
      <formula>AND(#REF!=1,OR(#REF!&lt;&gt;0,LEFT($A486,1)="I",LEFT($A486,1)="C",RIGHT($A486,1)="X"))</formula>
    </cfRule>
    <cfRule type="expression" dxfId="540" priority="174">
      <formula>#REF!=0</formula>
    </cfRule>
  </conditionalFormatting>
  <conditionalFormatting sqref="H758:J758 F758">
    <cfRule type="expression" dxfId="539" priority="165">
      <formula>AND(#REF!=0,#REF!=1,LEFT($A758,1)="A")</formula>
    </cfRule>
    <cfRule type="expression" dxfId="538" priority="166">
      <formula>#REF!=3</formula>
    </cfRule>
    <cfRule type="expression" dxfId="537" priority="167">
      <formula>#REF!=2</formula>
    </cfRule>
    <cfRule type="expression" dxfId="536" priority="168">
      <formula>AND(#REF!=1,OR(#REF!&lt;&gt;0,LEFT($A758,1)="I",LEFT($A758,1)="C",RIGHT($A758,1)="X"))</formula>
    </cfRule>
    <cfRule type="expression" dxfId="535" priority="169">
      <formula>#REF!=0</formula>
    </cfRule>
  </conditionalFormatting>
  <conditionalFormatting sqref="L26:L28 L43 M31:N42 N28:N30">
    <cfRule type="expression" dxfId="534" priority="159">
      <formula>AND($E26=0,$D26=1,LEFT($F26,1)="A")</formula>
    </cfRule>
    <cfRule type="expression" dxfId="533" priority="161">
      <formula>$D26=3</formula>
    </cfRule>
    <cfRule type="expression" dxfId="532" priority="162">
      <formula>$D26=2</formula>
    </cfRule>
    <cfRule type="expression" dxfId="531" priority="163">
      <formula>AND($D26=1,OR($E26&lt;&gt;0,LEFT($F26,1)="I",LEFT($F26,1)="C",RIGHT($F26,1)="X"))</formula>
    </cfRule>
    <cfRule type="expression" dxfId="530" priority="164">
      <formula>$D26=0</formula>
    </cfRule>
  </conditionalFormatting>
  <conditionalFormatting sqref="L26:L28 L43 M31:N42 N28:N30">
    <cfRule type="expression" dxfId="529" priority="160">
      <formula>$D26=4</formula>
    </cfRule>
  </conditionalFormatting>
  <conditionalFormatting sqref="L30:L41">
    <cfRule type="expression" dxfId="528" priority="153">
      <formula>AND($E30=0,$D30=1,LEFT($F30,1)="A")</formula>
    </cfRule>
    <cfRule type="expression" dxfId="527" priority="155">
      <formula>$D30=3</formula>
    </cfRule>
    <cfRule type="expression" dxfId="526" priority="156">
      <formula>$D30=2</formula>
    </cfRule>
    <cfRule type="expression" dxfId="525" priority="157">
      <formula>AND($D30=1,OR($E30&lt;&gt;0,LEFT($F30,1)="I",LEFT($F30,1)="C",RIGHT($F30,1)="X"))</formula>
    </cfRule>
    <cfRule type="expression" dxfId="524" priority="158">
      <formula>$D30=0</formula>
    </cfRule>
  </conditionalFormatting>
  <conditionalFormatting sqref="L30:L41">
    <cfRule type="expression" dxfId="523" priority="154">
      <formula>$D30=4</formula>
    </cfRule>
  </conditionalFormatting>
  <conditionalFormatting sqref="L48:L88">
    <cfRule type="expression" dxfId="522" priority="147">
      <formula>AND($E48=0,$D48=1,LEFT($F48,1)="A")</formula>
    </cfRule>
    <cfRule type="expression" dxfId="521" priority="149">
      <formula>$D48=3</formula>
    </cfRule>
    <cfRule type="expression" dxfId="520" priority="150">
      <formula>$D48=2</formula>
    </cfRule>
    <cfRule type="expression" dxfId="519" priority="151">
      <formula>AND($D48=1,OR($E48&lt;&gt;0,LEFT($F48,1)="I",LEFT($F48,1)="C",RIGHT($F48,1)="X"))</formula>
    </cfRule>
    <cfRule type="expression" dxfId="518" priority="152">
      <formula>$D48=0</formula>
    </cfRule>
  </conditionalFormatting>
  <conditionalFormatting sqref="L48:L88">
    <cfRule type="expression" dxfId="517" priority="148">
      <formula>$D48=4</formula>
    </cfRule>
  </conditionalFormatting>
  <conditionalFormatting sqref="L89:L95">
    <cfRule type="expression" dxfId="516" priority="141">
      <formula>AND($E89=0,$D89=1,LEFT($F89,1)="A")</formula>
    </cfRule>
    <cfRule type="expression" dxfId="515" priority="143">
      <formula>$D89=3</formula>
    </cfRule>
    <cfRule type="expression" dxfId="514" priority="144">
      <formula>$D89=2</formula>
    </cfRule>
    <cfRule type="expression" dxfId="513" priority="145">
      <formula>AND($D89=1,OR($E89&lt;&gt;0,LEFT($F89,1)="I",LEFT($F89,1)="C",RIGHT($F89,1)="X"))</formula>
    </cfRule>
    <cfRule type="expression" dxfId="512" priority="146">
      <formula>$D89=0</formula>
    </cfRule>
  </conditionalFormatting>
  <conditionalFormatting sqref="L89:L95">
    <cfRule type="expression" dxfId="511" priority="142">
      <formula>$D89=4</formula>
    </cfRule>
  </conditionalFormatting>
  <conditionalFormatting sqref="L110:L112">
    <cfRule type="expression" dxfId="510" priority="135">
      <formula>AND($E110=0,$D110=1,LEFT($F110,1)="A")</formula>
    </cfRule>
    <cfRule type="expression" dxfId="509" priority="137">
      <formula>$D110=3</formula>
    </cfRule>
    <cfRule type="expression" dxfId="508" priority="138">
      <formula>$D110=2</formula>
    </cfRule>
    <cfRule type="expression" dxfId="507" priority="139">
      <formula>AND($D110=1,OR($E110&lt;&gt;0,LEFT($F110,1)="I",LEFT($F110,1)="C",RIGHT($F110,1)="X"))</formula>
    </cfRule>
    <cfRule type="expression" dxfId="506" priority="140">
      <formula>$D110=0</formula>
    </cfRule>
  </conditionalFormatting>
  <conditionalFormatting sqref="L110:L112">
    <cfRule type="expression" dxfId="505" priority="136">
      <formula>$D110=4</formula>
    </cfRule>
  </conditionalFormatting>
  <conditionalFormatting sqref="L119">
    <cfRule type="expression" dxfId="504" priority="129">
      <formula>AND($E119=0,$D119=1,LEFT($F119,1)="A")</formula>
    </cfRule>
    <cfRule type="expression" dxfId="503" priority="131">
      <formula>$D119=3</formula>
    </cfRule>
    <cfRule type="expression" dxfId="502" priority="132">
      <formula>$D119=2</formula>
    </cfRule>
    <cfRule type="expression" dxfId="501" priority="133">
      <formula>AND($D119=1,OR($E119&lt;&gt;0,LEFT($F119,1)="I",LEFT($F119,1)="C",RIGHT($F119,1)="X"))</formula>
    </cfRule>
    <cfRule type="expression" dxfId="500" priority="134">
      <formula>$D119=0</formula>
    </cfRule>
  </conditionalFormatting>
  <conditionalFormatting sqref="L119">
    <cfRule type="expression" dxfId="499" priority="130">
      <formula>$D119=4</formula>
    </cfRule>
  </conditionalFormatting>
  <conditionalFormatting sqref="L125">
    <cfRule type="expression" dxfId="498" priority="123">
      <formula>AND($E125=0,$D125=1,LEFT($F125,1)="A")</formula>
    </cfRule>
    <cfRule type="expression" dxfId="497" priority="125">
      <formula>$D125=3</formula>
    </cfRule>
    <cfRule type="expression" dxfId="496" priority="126">
      <formula>$D125=2</formula>
    </cfRule>
    <cfRule type="expression" dxfId="495" priority="127">
      <formula>AND($D125=1,OR($E125&lt;&gt;0,LEFT($F125,1)="I",LEFT($F125,1)="C",RIGHT($F125,1)="X"))</formula>
    </cfRule>
    <cfRule type="expression" dxfId="494" priority="128">
      <formula>$D125=0</formula>
    </cfRule>
  </conditionalFormatting>
  <conditionalFormatting sqref="L125">
    <cfRule type="expression" dxfId="493" priority="124">
      <formula>$D125=4</formula>
    </cfRule>
  </conditionalFormatting>
  <conditionalFormatting sqref="L146:L148">
    <cfRule type="expression" dxfId="492" priority="117">
      <formula>AND($E146=0,$D146=1,LEFT($F146,1)="A")</formula>
    </cfRule>
    <cfRule type="expression" dxfId="491" priority="119">
      <formula>$D146=3</formula>
    </cfRule>
    <cfRule type="expression" dxfId="490" priority="120">
      <formula>$D146=2</formula>
    </cfRule>
    <cfRule type="expression" dxfId="489" priority="121">
      <formula>AND($D146=1,OR($E146&lt;&gt;0,LEFT($F146,1)="I",LEFT($F146,1)="C",RIGHT($F146,1)="X"))</formula>
    </cfRule>
    <cfRule type="expression" dxfId="488" priority="122">
      <formula>$D146=0</formula>
    </cfRule>
  </conditionalFormatting>
  <conditionalFormatting sqref="L146:L148">
    <cfRule type="expression" dxfId="487" priority="118">
      <formula>$D146=4</formula>
    </cfRule>
  </conditionalFormatting>
  <conditionalFormatting sqref="P7">
    <cfRule type="expression" dxfId="486" priority="112">
      <formula>AND(#REF!=0,#REF!=1,LEFT($A7,1)="A")</formula>
    </cfRule>
    <cfRule type="expression" dxfId="485" priority="113">
      <formula>#REF!=3</formula>
    </cfRule>
    <cfRule type="expression" dxfId="484" priority="114">
      <formula>#REF!=2</formula>
    </cfRule>
    <cfRule type="expression" dxfId="483" priority="115">
      <formula>AND(#REF!=1,OR(#REF!&lt;&gt;0,LEFT($A7,1)="I",LEFT($A7,1)="C",RIGHT($A7,1)="X"))</formula>
    </cfRule>
    <cfRule type="expression" dxfId="482" priority="116">
      <formula>#REF!=0</formula>
    </cfRule>
  </conditionalFormatting>
  <conditionalFormatting sqref="H145:J145">
    <cfRule type="expression" dxfId="481" priority="102">
      <formula>AND(#REF!=0,#REF!=1,LEFT($A145,1)="A")</formula>
    </cfRule>
    <cfRule type="expression" dxfId="480" priority="103">
      <formula>#REF!=3</formula>
    </cfRule>
    <cfRule type="expression" dxfId="479" priority="104">
      <formula>#REF!=2</formula>
    </cfRule>
    <cfRule type="expression" dxfId="478" priority="105">
      <formula>AND(#REF!=1,OR(#REF!&lt;&gt;0,LEFT($A145,1)="I",LEFT($A145,1)="C",RIGHT($A145,1)="X"))</formula>
    </cfRule>
    <cfRule type="expression" dxfId="477" priority="106">
      <formula>#REF!=0</formula>
    </cfRule>
  </conditionalFormatting>
  <conditionalFormatting sqref="P6">
    <cfRule type="expression" dxfId="476" priority="97">
      <formula>AND(#REF!=0,#REF!=1,LEFT($A6,1)="A")</formula>
    </cfRule>
    <cfRule type="expression" dxfId="475" priority="98">
      <formula>#REF!=3</formula>
    </cfRule>
    <cfRule type="expression" dxfId="474" priority="99">
      <formula>#REF!=2</formula>
    </cfRule>
    <cfRule type="expression" dxfId="473" priority="100">
      <formula>AND(#REF!=1,OR(#REF!&lt;&gt;0,LEFT($A6,1)="I",LEFT($A6,1)="C",RIGHT($A6,1)="X"))</formula>
    </cfRule>
    <cfRule type="expression" dxfId="472" priority="101">
      <formula>#REF!=0</formula>
    </cfRule>
  </conditionalFormatting>
  <conditionalFormatting sqref="H529:J529">
    <cfRule type="expression" dxfId="471" priority="87">
      <formula>AND(#REF!=0,#REF!=1,LEFT($A529,1)="A")</formula>
    </cfRule>
    <cfRule type="expression" dxfId="470" priority="88">
      <formula>#REF!=3</formula>
    </cfRule>
    <cfRule type="expression" dxfId="469" priority="89">
      <formula>#REF!=2</formula>
    </cfRule>
    <cfRule type="expression" dxfId="468" priority="90">
      <formula>AND(#REF!=1,OR(#REF!&lt;&gt;0,LEFT($A529,1)="I",LEFT($A529,1)="C",RIGHT($A529,1)="X"))</formula>
    </cfRule>
    <cfRule type="expression" dxfId="467" priority="91">
      <formula>#REF!=0</formula>
    </cfRule>
  </conditionalFormatting>
  <conditionalFormatting sqref="M26:N27">
    <cfRule type="expression" dxfId="466" priority="81">
      <formula>AND($E26=0,$D26=1,LEFT($F26,1)="A")</formula>
    </cfRule>
    <cfRule type="expression" dxfId="465" priority="83">
      <formula>$D26=3</formula>
    </cfRule>
    <cfRule type="expression" dxfId="464" priority="84">
      <formula>$D26=2</formula>
    </cfRule>
    <cfRule type="expression" dxfId="463" priority="85">
      <formula>AND($D26=1,OR($E26&lt;&gt;0,LEFT($F26,1)="I",LEFT($F26,1)="C",RIGHT($F26,1)="X"))</formula>
    </cfRule>
    <cfRule type="expression" dxfId="462" priority="86">
      <formula>$D26=0</formula>
    </cfRule>
  </conditionalFormatting>
  <conditionalFormatting sqref="M26:N27">
    <cfRule type="expression" dxfId="461" priority="82">
      <formula>$D26=4</formula>
    </cfRule>
  </conditionalFormatting>
  <conditionalFormatting sqref="L183">
    <cfRule type="expression" dxfId="460" priority="76">
      <formula>AND(#REF!=0,#REF!=1,LEFT($A183,1)="A")</formula>
    </cfRule>
    <cfRule type="expression" dxfId="459" priority="77">
      <formula>#REF!=3</formula>
    </cfRule>
    <cfRule type="expression" dxfId="458" priority="78">
      <formula>#REF!=2</formula>
    </cfRule>
    <cfRule type="expression" dxfId="457" priority="79">
      <formula>AND(#REF!=1,OR(#REF!&lt;&gt;0,LEFT($A183,1)="I",LEFT($A183,1)="C",RIGHT($A183,1)="X"))</formula>
    </cfRule>
    <cfRule type="expression" dxfId="456" priority="80">
      <formula>#REF!=0</formula>
    </cfRule>
  </conditionalFormatting>
  <conditionalFormatting sqref="F419">
    <cfRule type="expression" dxfId="455" priority="71">
      <formula>AND(#REF!=0,#REF!=1,LEFT($A419,1)="A")</formula>
    </cfRule>
    <cfRule type="expression" dxfId="454" priority="72">
      <formula>#REF!=3</formula>
    </cfRule>
    <cfRule type="expression" dxfId="453" priority="73">
      <formula>#REF!=2</formula>
    </cfRule>
    <cfRule type="expression" dxfId="452" priority="74">
      <formula>AND(#REF!=1,OR(#REF!&lt;&gt;0,LEFT($A419,1)="I",LEFT($A419,1)="C",RIGHT($A419,1)="X"))</formula>
    </cfRule>
    <cfRule type="expression" dxfId="451" priority="75">
      <formula>#REF!=0</formula>
    </cfRule>
  </conditionalFormatting>
  <conditionalFormatting sqref="F434">
    <cfRule type="expression" dxfId="450" priority="66">
      <formula>AND(#REF!=0,#REF!=1,LEFT($A434,1)="A")</formula>
    </cfRule>
    <cfRule type="expression" dxfId="449" priority="67">
      <formula>#REF!=3</formula>
    </cfRule>
    <cfRule type="expression" dxfId="448" priority="68">
      <formula>#REF!=2</formula>
    </cfRule>
    <cfRule type="expression" dxfId="447" priority="69">
      <formula>AND(#REF!=1,OR(#REF!&lt;&gt;0,LEFT($A434,1)="I",LEFT($A434,1)="C",RIGHT($A434,1)="X"))</formula>
    </cfRule>
    <cfRule type="expression" dxfId="446" priority="70">
      <formula>#REF!=0</formula>
    </cfRule>
  </conditionalFormatting>
  <conditionalFormatting sqref="K334">
    <cfRule type="expression" dxfId="445" priority="60">
      <formula>AND($E334=0,$D334=1,LEFT($F334,1)="A")</formula>
    </cfRule>
    <cfRule type="expression" dxfId="444" priority="62">
      <formula>$D334=3</formula>
    </cfRule>
    <cfRule type="expression" dxfId="443" priority="63">
      <formula>$D334=2</formula>
    </cfRule>
    <cfRule type="expression" dxfId="442" priority="64">
      <formula>AND($D334=1,OR($E334&lt;&gt;0,LEFT($F334,1)="I",LEFT($F334,1)="C",RIGHT($F334,1)="X"))</formula>
    </cfRule>
    <cfRule type="expression" dxfId="441" priority="65">
      <formula>$D334=0</formula>
    </cfRule>
  </conditionalFormatting>
  <conditionalFormatting sqref="K334">
    <cfRule type="expression" dxfId="440" priority="61">
      <formula>$D334=4</formula>
    </cfRule>
  </conditionalFormatting>
  <conditionalFormatting sqref="K344">
    <cfRule type="expression" dxfId="439" priority="54">
      <formula>AND($E344=0,$D344=1,LEFT($F344,1)="A")</formula>
    </cfRule>
    <cfRule type="expression" dxfId="438" priority="56">
      <formula>$D344=3</formula>
    </cfRule>
    <cfRule type="expression" dxfId="437" priority="57">
      <formula>$D344=2</formula>
    </cfRule>
    <cfRule type="expression" dxfId="436" priority="58">
      <formula>AND($D344=1,OR($E344&lt;&gt;0,LEFT($F344,1)="I",LEFT($F344,1)="C",RIGHT($F344,1)="X"))</formula>
    </cfRule>
    <cfRule type="expression" dxfId="435" priority="59">
      <formula>$D344=0</formula>
    </cfRule>
  </conditionalFormatting>
  <conditionalFormatting sqref="K344">
    <cfRule type="expression" dxfId="434" priority="55">
      <formula>$D344=4</formula>
    </cfRule>
  </conditionalFormatting>
  <conditionalFormatting sqref="K348">
    <cfRule type="expression" dxfId="433" priority="48">
      <formula>AND($E348=0,$D348=1,LEFT($F348,1)="A")</formula>
    </cfRule>
    <cfRule type="expression" dxfId="432" priority="50">
      <formula>$D348=3</formula>
    </cfRule>
    <cfRule type="expression" dxfId="431" priority="51">
      <formula>$D348=2</formula>
    </cfRule>
    <cfRule type="expression" dxfId="430" priority="52">
      <formula>AND($D348=1,OR($E348&lt;&gt;0,LEFT($F348,1)="I",LEFT($F348,1)="C",RIGHT($F348,1)="X"))</formula>
    </cfRule>
    <cfRule type="expression" dxfId="429" priority="53">
      <formula>$D348=0</formula>
    </cfRule>
  </conditionalFormatting>
  <conditionalFormatting sqref="K348">
    <cfRule type="expression" dxfId="428" priority="49">
      <formula>$D348=4</formula>
    </cfRule>
  </conditionalFormatting>
  <conditionalFormatting sqref="K350">
    <cfRule type="expression" dxfId="427" priority="42">
      <formula>AND($E350=0,$D350=1,LEFT($F350,1)="A")</formula>
    </cfRule>
    <cfRule type="expression" dxfId="426" priority="44">
      <formula>$D350=3</formula>
    </cfRule>
    <cfRule type="expression" dxfId="425" priority="45">
      <formula>$D350=2</formula>
    </cfRule>
    <cfRule type="expression" dxfId="424" priority="46">
      <formula>AND($D350=1,OR($E350&lt;&gt;0,LEFT($F350,1)="I",LEFT($F350,1)="C",RIGHT($F350,1)="X"))</formula>
    </cfRule>
    <cfRule type="expression" dxfId="423" priority="47">
      <formula>$D350=0</formula>
    </cfRule>
  </conditionalFormatting>
  <conditionalFormatting sqref="K350">
    <cfRule type="expression" dxfId="422" priority="43">
      <formula>$D350=4</formula>
    </cfRule>
  </conditionalFormatting>
  <conditionalFormatting sqref="K362">
    <cfRule type="expression" dxfId="421" priority="36">
      <formula>AND($E362=0,$D362=1,LEFT($F362,1)="A")</formula>
    </cfRule>
    <cfRule type="expression" dxfId="420" priority="38">
      <formula>$D362=3</formula>
    </cfRule>
    <cfRule type="expression" dxfId="419" priority="39">
      <formula>$D362=2</formula>
    </cfRule>
    <cfRule type="expression" dxfId="418" priority="40">
      <formula>AND($D362=1,OR($E362&lt;&gt;0,LEFT($F362,1)="I",LEFT($F362,1)="C",RIGHT($F362,1)="X"))</formula>
    </cfRule>
    <cfRule type="expression" dxfId="417" priority="41">
      <formula>$D362=0</formula>
    </cfRule>
  </conditionalFormatting>
  <conditionalFormatting sqref="K362">
    <cfRule type="expression" dxfId="416" priority="37">
      <formula>$D362=4</formula>
    </cfRule>
  </conditionalFormatting>
  <conditionalFormatting sqref="K364">
    <cfRule type="expression" dxfId="415" priority="30">
      <formula>AND($E364=0,$D364=1,LEFT($F364,1)="A")</formula>
    </cfRule>
    <cfRule type="expression" dxfId="414" priority="32">
      <formula>$D364=3</formula>
    </cfRule>
    <cfRule type="expression" dxfId="413" priority="33">
      <formula>$D364=2</formula>
    </cfRule>
    <cfRule type="expression" dxfId="412" priority="34">
      <formula>AND($D364=1,OR($E364&lt;&gt;0,LEFT($F364,1)="I",LEFT($F364,1)="C",RIGHT($F364,1)="X"))</formula>
    </cfRule>
    <cfRule type="expression" dxfId="411" priority="35">
      <formula>$D364=0</formula>
    </cfRule>
  </conditionalFormatting>
  <conditionalFormatting sqref="K364">
    <cfRule type="expression" dxfId="410" priority="31">
      <formula>$D364=4</formula>
    </cfRule>
  </conditionalFormatting>
  <conditionalFormatting sqref="K374">
    <cfRule type="expression" dxfId="409" priority="24">
      <formula>AND($E374=0,$D374=1,LEFT($F374,1)="A")</formula>
    </cfRule>
    <cfRule type="expression" dxfId="408" priority="26">
      <formula>$D374=3</formula>
    </cfRule>
    <cfRule type="expression" dxfId="407" priority="27">
      <formula>$D374=2</formula>
    </cfRule>
    <cfRule type="expression" dxfId="406" priority="28">
      <formula>AND($D374=1,OR($E374&lt;&gt;0,LEFT($F374,1)="I",LEFT($F374,1)="C",RIGHT($F374,1)="X"))</formula>
    </cfRule>
    <cfRule type="expression" dxfId="405" priority="29">
      <formula>$D374=0</formula>
    </cfRule>
  </conditionalFormatting>
  <conditionalFormatting sqref="K374">
    <cfRule type="expression" dxfId="404" priority="25">
      <formula>$D374=4</formula>
    </cfRule>
  </conditionalFormatting>
  <conditionalFormatting sqref="K381">
    <cfRule type="expression" dxfId="403" priority="18">
      <formula>AND($E381=0,$D381=1,LEFT($F381,1)="A")</formula>
    </cfRule>
    <cfRule type="expression" dxfId="402" priority="20">
      <formula>$D381=3</formula>
    </cfRule>
    <cfRule type="expression" dxfId="401" priority="21">
      <formula>$D381=2</formula>
    </cfRule>
    <cfRule type="expression" dxfId="400" priority="22">
      <formula>AND($D381=1,OR($E381&lt;&gt;0,LEFT($F381,1)="I",LEFT($F381,1)="C",RIGHT($F381,1)="X"))</formula>
    </cfRule>
    <cfRule type="expression" dxfId="399" priority="23">
      <formula>$D381=0</formula>
    </cfRule>
  </conditionalFormatting>
  <conditionalFormatting sqref="K381">
    <cfRule type="expression" dxfId="398" priority="19">
      <formula>$D381=4</formula>
    </cfRule>
  </conditionalFormatting>
  <conditionalFormatting sqref="K740">
    <cfRule type="expression" dxfId="397" priority="12">
      <formula>AND($E740=0,$D740=1,LEFT($F740,1)="A")</formula>
    </cfRule>
    <cfRule type="expression" dxfId="396" priority="14">
      <formula>$D740=3</formula>
    </cfRule>
    <cfRule type="expression" dxfId="395" priority="15">
      <formula>$D740=2</formula>
    </cfRule>
    <cfRule type="expression" dxfId="394" priority="16">
      <formula>AND($D740=1,OR($E740&lt;&gt;0,LEFT($F740,1)="I",LEFT($F740,1)="C",RIGHT($F740,1)="X"))</formula>
    </cfRule>
    <cfRule type="expression" dxfId="393" priority="17">
      <formula>$D740=0</formula>
    </cfRule>
  </conditionalFormatting>
  <conditionalFormatting sqref="K740">
    <cfRule type="expression" dxfId="392" priority="13">
      <formula>$D740=4</formula>
    </cfRule>
  </conditionalFormatting>
  <conditionalFormatting sqref="K356:K357">
    <cfRule type="expression" dxfId="391" priority="7">
      <formula>AND(#REF!=0,#REF!=1,LEFT($A356,1)="A")</formula>
    </cfRule>
    <cfRule type="expression" dxfId="390" priority="8">
      <formula>#REF!=3</formula>
    </cfRule>
    <cfRule type="expression" dxfId="389" priority="9">
      <formula>#REF!=2</formula>
    </cfRule>
    <cfRule type="expression" dxfId="388" priority="10">
      <formula>AND(#REF!=1,OR(#REF!&lt;&gt;0,LEFT($A356,1)="I",LEFT($A356,1)="C",RIGHT($A356,1)="X"))</formula>
    </cfRule>
    <cfRule type="expression" dxfId="387" priority="11">
      <formula>#REF!=0</formula>
    </cfRule>
  </conditionalFormatting>
  <conditionalFormatting sqref="Q7:R8">
    <cfRule type="expression" dxfId="386" priority="2397">
      <formula>AND(#REF!=0,#REF!=1,LEFT($A6,1)="A")</formula>
    </cfRule>
    <cfRule type="expression" dxfId="385" priority="2398">
      <formula>#REF!=3</formula>
    </cfRule>
    <cfRule type="expression" dxfId="384" priority="2399">
      <formula>#REF!=2</formula>
    </cfRule>
    <cfRule type="expression" dxfId="383" priority="2400">
      <formula>AND(#REF!=1,OR(#REF!&lt;&gt;0,LEFT($A6,1)="I",LEFT($A6,1)="C",RIGHT($A6,1)="X"))</formula>
    </cfRule>
    <cfRule type="expression" dxfId="382" priority="2401">
      <formula>#REF!=0</formula>
    </cfRule>
  </conditionalFormatting>
  <conditionalFormatting sqref="M49">
    <cfRule type="expression" dxfId="381" priority="1">
      <formula>AND($E49=0,$D49=1,LEFT($F49,1)="A")</formula>
    </cfRule>
    <cfRule type="expression" dxfId="380" priority="3">
      <formula>$D49=3</formula>
    </cfRule>
    <cfRule type="expression" dxfId="379" priority="4">
      <formula>$D49=2</formula>
    </cfRule>
    <cfRule type="expression" dxfId="378" priority="5">
      <formula>AND($D49=1,OR($E49&lt;&gt;0,LEFT($F49,1)="I",LEFT($F49,1)="C",RIGHT($F49,1)="X"))</formula>
    </cfRule>
    <cfRule type="expression" dxfId="377" priority="6">
      <formula>$D49=0</formula>
    </cfRule>
  </conditionalFormatting>
  <conditionalFormatting sqref="M49">
    <cfRule type="expression" dxfId="376" priority="2">
      <formula>$D49=4</formula>
    </cfRule>
  </conditionalFormatting>
  <pageMargins left="0.16" right="0.16" top="0.12" bottom="0.16" header="0.11" footer="0.16"/>
  <pageSetup paperSize="9" scale="91" fitToHeight="17" orientation="landscape" r:id="rId1"/>
  <ignoredErrors>
    <ignoredError sqref="K785 K746" formula="1"/>
    <ignoredError sqref="H7 J7" numberStoredAsText="1"/>
    <ignoredError sqref="K697" formulaRange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85900-E987-43D6-8A1D-55A24655D3A9}">
  <dimension ref="A1:Z24"/>
  <sheetViews>
    <sheetView workbookViewId="0">
      <pane ySplit="5" topLeftCell="A6" activePane="bottomLeft" state="frozen"/>
      <selection pane="bottomLeft" activeCell="K15" sqref="K15"/>
    </sheetView>
  </sheetViews>
  <sheetFormatPr defaultRowHeight="15" x14ac:dyDescent="0.25"/>
  <cols>
    <col min="1" max="1" width="14.7109375" style="330" customWidth="1"/>
    <col min="2" max="2" width="20.7109375" style="330" customWidth="1"/>
    <col min="3" max="3" width="21.7109375" style="330" customWidth="1"/>
    <col min="4" max="4" width="33.28515625" style="330" customWidth="1"/>
    <col min="5" max="9" width="14.7109375" style="330" customWidth="1"/>
    <col min="10" max="10" width="9.140625" style="330"/>
    <col min="11" max="11" width="11.85546875" style="330" bestFit="1" customWidth="1"/>
    <col min="12" max="16384" width="9.140625" style="330"/>
  </cols>
  <sheetData>
    <row r="1" spans="1:26" ht="15.75" thickBot="1" x14ac:dyDescent="0.3">
      <c r="A1" s="421"/>
      <c r="B1" s="421"/>
      <c r="C1" s="456"/>
      <c r="D1" s="457"/>
      <c r="E1" s="421"/>
      <c r="F1" s="421"/>
      <c r="G1" s="421"/>
      <c r="H1" s="421"/>
      <c r="I1" s="421"/>
    </row>
    <row r="2" spans="1:26" ht="15.75" thickBot="1" x14ac:dyDescent="0.3">
      <c r="A2" s="421"/>
      <c r="B2" s="421"/>
      <c r="C2" s="421"/>
      <c r="D2" s="458" t="s">
        <v>3</v>
      </c>
      <c r="E2" s="459" t="s">
        <v>4</v>
      </c>
      <c r="F2" s="459" t="s">
        <v>4</v>
      </c>
      <c r="G2" s="459" t="s">
        <v>4</v>
      </c>
      <c r="H2" s="460" t="s">
        <v>2453</v>
      </c>
      <c r="I2" s="461" t="s">
        <v>1714</v>
      </c>
    </row>
    <row r="3" spans="1:26" ht="15.75" thickBot="1" x14ac:dyDescent="0.3">
      <c r="A3" s="421"/>
      <c r="B3" s="421"/>
      <c r="C3" s="421"/>
      <c r="D3" s="458" t="s">
        <v>5</v>
      </c>
      <c r="E3" s="459" t="s">
        <v>0</v>
      </c>
      <c r="F3" s="459">
        <v>2018</v>
      </c>
      <c r="G3" s="459" t="s">
        <v>1</v>
      </c>
      <c r="H3" s="462">
        <v>2019</v>
      </c>
      <c r="I3" s="463">
        <v>2020</v>
      </c>
    </row>
    <row r="4" spans="1:26" ht="15.75" thickBot="1" x14ac:dyDescent="0.3">
      <c r="A4" s="421"/>
      <c r="B4" s="421"/>
      <c r="C4" s="464"/>
      <c r="D4" s="458" t="s">
        <v>6</v>
      </c>
      <c r="E4" s="459" t="s">
        <v>8</v>
      </c>
      <c r="F4" s="459" t="s">
        <v>8</v>
      </c>
      <c r="G4" s="461" t="s">
        <v>7</v>
      </c>
      <c r="H4" s="465"/>
      <c r="I4" s="461" t="s">
        <v>7</v>
      </c>
    </row>
    <row r="5" spans="1:26" ht="15.75" thickBot="1" x14ac:dyDescent="0.3">
      <c r="A5" s="466" t="s">
        <v>9</v>
      </c>
      <c r="B5" s="467" t="s">
        <v>914</v>
      </c>
      <c r="C5" s="468"/>
      <c r="D5" s="421"/>
      <c r="E5" s="469"/>
      <c r="F5" s="469"/>
      <c r="G5" s="469"/>
      <c r="H5" s="469"/>
      <c r="I5" s="469"/>
    </row>
    <row r="6" spans="1:26" ht="15.75" thickTop="1" x14ac:dyDescent="0.25">
      <c r="A6" s="471" t="s">
        <v>1184</v>
      </c>
      <c r="B6" s="493" t="s">
        <v>2580</v>
      </c>
      <c r="C6" s="548" t="s">
        <v>280</v>
      </c>
      <c r="D6" s="549"/>
      <c r="E6" s="550">
        <v>-53458.44</v>
      </c>
      <c r="F6" s="550">
        <v>-47522.25</v>
      </c>
      <c r="G6" s="550">
        <v>-80431.749548852007</v>
      </c>
      <c r="H6" s="436">
        <v>-90055.56</v>
      </c>
      <c r="I6" s="551">
        <v>-80000</v>
      </c>
    </row>
    <row r="7" spans="1:26" x14ac:dyDescent="0.25">
      <c r="A7" s="471" t="s">
        <v>1185</v>
      </c>
      <c r="B7" s="493" t="s">
        <v>2580</v>
      </c>
      <c r="C7" s="548" t="s">
        <v>281</v>
      </c>
      <c r="D7" s="549"/>
      <c r="E7" s="550">
        <v>-1595647</v>
      </c>
      <c r="F7" s="550">
        <v>-1772250</v>
      </c>
      <c r="G7" s="550">
        <v>-1500000</v>
      </c>
      <c r="H7" s="436">
        <v>-1391096</v>
      </c>
      <c r="I7" s="553">
        <v>-1800000</v>
      </c>
      <c r="K7" s="607">
        <v>-150000</v>
      </c>
    </row>
    <row r="8" spans="1:26" x14ac:dyDescent="0.25">
      <c r="A8" s="471" t="s">
        <v>1205</v>
      </c>
      <c r="B8" s="493" t="s">
        <v>2580</v>
      </c>
      <c r="C8" s="548" t="s">
        <v>301</v>
      </c>
      <c r="D8" s="549"/>
      <c r="E8" s="550">
        <v>-450688.13</v>
      </c>
      <c r="F8" s="550">
        <v>-443528.7</v>
      </c>
      <c r="G8" s="550">
        <v>-664999.99999999197</v>
      </c>
      <c r="H8" s="436">
        <v>-339714.88</v>
      </c>
      <c r="I8" s="553">
        <v>-300000</v>
      </c>
      <c r="S8" s="485" t="s">
        <v>2581</v>
      </c>
      <c r="T8" s="485" t="s">
        <v>2542</v>
      </c>
      <c r="U8" s="105">
        <v>1331000</v>
      </c>
      <c r="V8" s="485" t="s">
        <v>2582</v>
      </c>
      <c r="W8" s="485"/>
      <c r="X8" s="485"/>
      <c r="Y8" s="485"/>
      <c r="Z8" s="485"/>
    </row>
    <row r="9" spans="1:26" x14ac:dyDescent="0.25">
      <c r="A9" s="471" t="s">
        <v>1213</v>
      </c>
      <c r="B9" s="493" t="s">
        <v>2580</v>
      </c>
      <c r="C9" s="548" t="s">
        <v>309</v>
      </c>
      <c r="D9" s="549"/>
      <c r="E9" s="550">
        <v>-1876376.79</v>
      </c>
      <c r="F9" s="550">
        <v>-2206996.65</v>
      </c>
      <c r="G9" s="550">
        <v>-1500000</v>
      </c>
      <c r="H9" s="436">
        <v>-1176581.83</v>
      </c>
      <c r="I9" s="553">
        <v>-2131000</v>
      </c>
      <c r="K9" s="607">
        <v>-100000</v>
      </c>
      <c r="S9" s="485" t="s">
        <v>2583</v>
      </c>
      <c r="T9" s="485" t="s">
        <v>2544</v>
      </c>
      <c r="U9" s="105">
        <v>-300000</v>
      </c>
      <c r="V9" s="485" t="s">
        <v>2584</v>
      </c>
      <c r="W9" s="485"/>
      <c r="X9" s="485"/>
      <c r="Y9" s="485"/>
      <c r="Z9" s="485"/>
    </row>
    <row r="10" spans="1:26" x14ac:dyDescent="0.25">
      <c r="A10" s="471" t="s">
        <v>1215</v>
      </c>
      <c r="B10" s="493" t="s">
        <v>2580</v>
      </c>
      <c r="C10" s="548" t="s">
        <v>311</v>
      </c>
      <c r="D10" s="549"/>
      <c r="E10" s="550">
        <v>-921882.94</v>
      </c>
      <c r="F10" s="550">
        <v>-1623854.33</v>
      </c>
      <c r="G10" s="550">
        <v>-1500000</v>
      </c>
      <c r="H10" s="436">
        <v>-1239733.46</v>
      </c>
      <c r="I10" s="553">
        <v>-1800000</v>
      </c>
      <c r="K10" s="607">
        <v>-150000</v>
      </c>
    </row>
    <row r="11" spans="1:26" x14ac:dyDescent="0.25">
      <c r="A11" s="471" t="s">
        <v>1343</v>
      </c>
      <c r="B11" s="493" t="s">
        <v>2580</v>
      </c>
      <c r="C11" s="548" t="s">
        <v>472</v>
      </c>
      <c r="D11" s="549"/>
      <c r="E11" s="550">
        <v>-767875.9</v>
      </c>
      <c r="F11" s="550">
        <v>-664012.85</v>
      </c>
      <c r="G11" s="550">
        <v>-741000</v>
      </c>
      <c r="H11" s="436">
        <v>-711462.93</v>
      </c>
      <c r="I11" s="553">
        <v>-710000</v>
      </c>
    </row>
    <row r="12" spans="1:26" x14ac:dyDescent="0.25">
      <c r="A12" s="471" t="s">
        <v>1580</v>
      </c>
      <c r="B12" s="493" t="s">
        <v>2580</v>
      </c>
      <c r="C12" s="548" t="s">
        <v>818</v>
      </c>
      <c r="D12" s="549"/>
      <c r="E12" s="550">
        <v>293000</v>
      </c>
      <c r="F12" s="550">
        <v>277000</v>
      </c>
      <c r="G12" s="550">
        <v>207409.02527075799</v>
      </c>
      <c r="H12" s="436">
        <v>234000</v>
      </c>
      <c r="I12" s="553">
        <v>230000</v>
      </c>
    </row>
    <row r="13" spans="1:26" x14ac:dyDescent="0.25">
      <c r="A13" s="471" t="s">
        <v>1582</v>
      </c>
      <c r="B13" s="493" t="s">
        <v>2580</v>
      </c>
      <c r="C13" s="548" t="s">
        <v>820</v>
      </c>
      <c r="D13" s="549"/>
      <c r="E13" s="550">
        <v>6506849</v>
      </c>
      <c r="F13" s="550">
        <v>5990000</v>
      </c>
      <c r="G13" s="550">
        <v>6300000</v>
      </c>
      <c r="H13" s="436">
        <v>3817302</v>
      </c>
      <c r="I13" s="553">
        <v>6000000</v>
      </c>
      <c r="K13" s="607">
        <v>300000</v>
      </c>
      <c r="L13" s="330" t="s">
        <v>2585</v>
      </c>
    </row>
    <row r="14" spans="1:26" ht="15.75" thickBot="1" x14ac:dyDescent="0.3">
      <c r="C14" s="501" t="s">
        <v>2455</v>
      </c>
      <c r="D14" s="501"/>
      <c r="E14" s="502">
        <f>SUM(E6:E13)</f>
        <v>1133919.7999999998</v>
      </c>
      <c r="F14" s="502">
        <f t="shared" ref="F14:I14" si="0">SUM(F6:F13)</f>
        <v>-491164.77999999933</v>
      </c>
      <c r="G14" s="502">
        <f t="shared" si="0"/>
        <v>520977.27572191413</v>
      </c>
      <c r="H14" s="503">
        <f t="shared" si="0"/>
        <v>-897342.66000000015</v>
      </c>
      <c r="I14" s="505">
        <f t="shared" si="0"/>
        <v>-591000</v>
      </c>
    </row>
    <row r="15" spans="1:26" ht="15.75" thickTop="1" x14ac:dyDescent="0.25">
      <c r="K15" s="470">
        <f>+SUM(K6:K11)-K13</f>
        <v>-700000</v>
      </c>
      <c r="L15" s="330" t="s">
        <v>2586</v>
      </c>
    </row>
    <row r="17" spans="7:9" x14ac:dyDescent="0.25">
      <c r="G17" s="67">
        <f>+SUM(G6:G12)</f>
        <v>-5779022.7242780859</v>
      </c>
      <c r="I17" s="67">
        <f>+SUM(I6:I12)</f>
        <v>-6591000</v>
      </c>
    </row>
    <row r="19" spans="7:9" x14ac:dyDescent="0.25">
      <c r="H19" s="330" t="s">
        <v>2508</v>
      </c>
      <c r="I19" s="67">
        <f>-I17+G17</f>
        <v>811977.27572191413</v>
      </c>
    </row>
    <row r="20" spans="7:9" x14ac:dyDescent="0.25">
      <c r="I20" s="330" t="s">
        <v>2587</v>
      </c>
    </row>
    <row r="22" spans="7:9" x14ac:dyDescent="0.25">
      <c r="G22" s="67">
        <f>+G13</f>
        <v>6300000</v>
      </c>
      <c r="I22" s="67">
        <f>+I13</f>
        <v>6000000</v>
      </c>
    </row>
    <row r="24" spans="7:9" x14ac:dyDescent="0.25">
      <c r="H24" s="330" t="s">
        <v>2508</v>
      </c>
      <c r="I24" s="67">
        <f>-I22+G22</f>
        <v>300000</v>
      </c>
    </row>
  </sheetData>
  <mergeCells count="8">
    <mergeCell ref="C12:D12"/>
    <mergeCell ref="C13:D13"/>
    <mergeCell ref="C6:D6"/>
    <mergeCell ref="C7:D7"/>
    <mergeCell ref="C8:D8"/>
    <mergeCell ref="C9:D9"/>
    <mergeCell ref="C10:D10"/>
    <mergeCell ref="C11:D11"/>
  </mergeCells>
  <conditionalFormatting sqref="E5:G5">
    <cfRule type="expression" dxfId="65" priority="17">
      <formula>AND(#REF!=0,#REF!=1,LEFT($A5,1)="A")</formula>
    </cfRule>
    <cfRule type="expression" dxfId="64" priority="18">
      <formula>#REF!=3</formula>
    </cfRule>
    <cfRule type="expression" dxfId="63" priority="19">
      <formula>#REF!=2</formula>
    </cfRule>
    <cfRule type="expression" dxfId="62" priority="20">
      <formula>AND(#REF!=1,OR(#REF!&lt;&gt;0,LEFT($A5,1)="I",LEFT($A5,1)="C",RIGHT($A5,1)="X"))</formula>
    </cfRule>
    <cfRule type="expression" dxfId="61" priority="21">
      <formula>#REF!=0</formula>
    </cfRule>
  </conditionalFormatting>
  <conditionalFormatting sqref="C5">
    <cfRule type="expression" dxfId="60" priority="22">
      <formula>AND(#REF!=0,#REF!=1,LEFT($A6,1)="A")</formula>
    </cfRule>
    <cfRule type="expression" dxfId="59" priority="23">
      <formula>#REF!=3</formula>
    </cfRule>
    <cfRule type="expression" dxfId="58" priority="24">
      <formula>#REF!=2</formula>
    </cfRule>
    <cfRule type="expression" dxfId="57" priority="25">
      <formula>AND(#REF!=1,OR(#REF!&lt;&gt;0,LEFT($A6,1)="I",LEFT($A6,1)="C",RIGHT($A6,1)="X"))</formula>
    </cfRule>
    <cfRule type="expression" dxfId="56" priority="26">
      <formula>#REF!=0</formula>
    </cfRule>
  </conditionalFormatting>
  <conditionalFormatting sqref="H5">
    <cfRule type="expression" dxfId="55" priority="12">
      <formula>AND(#REF!=0,#REF!=1,LEFT($A5,1)="A")</formula>
    </cfRule>
    <cfRule type="expression" dxfId="54" priority="13">
      <formula>#REF!=3</formula>
    </cfRule>
    <cfRule type="expression" dxfId="53" priority="14">
      <formula>#REF!=2</formula>
    </cfRule>
    <cfRule type="expression" dxfId="52" priority="15">
      <formula>AND(#REF!=1,OR(#REF!&lt;&gt;0,LEFT($A5,1)="I",LEFT($A5,1)="C",RIGHT($A5,1)="X"))</formula>
    </cfRule>
    <cfRule type="expression" dxfId="51" priority="16">
      <formula>#REF!=0</formula>
    </cfRule>
  </conditionalFormatting>
  <conditionalFormatting sqref="I5">
    <cfRule type="expression" dxfId="50" priority="7">
      <formula>AND(#REF!=0,#REF!=1,LEFT($A5,1)="A")</formula>
    </cfRule>
    <cfRule type="expression" dxfId="49" priority="8">
      <formula>#REF!=3</formula>
    </cfRule>
    <cfRule type="expression" dxfId="48" priority="9">
      <formula>#REF!=2</formula>
    </cfRule>
    <cfRule type="expression" dxfId="47" priority="10">
      <formula>AND(#REF!=1,OR(#REF!&lt;&gt;0,LEFT($A5,1)="I",LEFT($A5,1)="C",RIGHT($A5,1)="X"))</formula>
    </cfRule>
    <cfRule type="expression" dxfId="46" priority="11">
      <formula>#REF!=0</formula>
    </cfRule>
  </conditionalFormatting>
  <conditionalFormatting sqref="E6:G13 C6:C13 I6:I13 K7 K9:K10 K13">
    <cfRule type="expression" dxfId="45" priority="2">
      <formula>AND(#REF!=0,#REF!=1,LEFT($A6,1)="A")</formula>
    </cfRule>
    <cfRule type="expression" dxfId="44" priority="3">
      <formula>#REF!=3</formula>
    </cfRule>
    <cfRule type="expression" dxfId="43" priority="4">
      <formula>#REF!=2</formula>
    </cfRule>
    <cfRule type="expression" dxfId="42" priority="5">
      <formula>AND(#REF!=1,OR(#REF!&lt;&gt;0,LEFT($A6,1)="I",LEFT($A6,1)="C",RIGHT($A6,1)="X"))</formula>
    </cfRule>
    <cfRule type="expression" dxfId="41" priority="6">
      <formula>#REF!=0</formula>
    </cfRule>
  </conditionalFormatting>
  <conditionalFormatting sqref="H6:H13">
    <cfRule type="expression" dxfId="40" priority="1">
      <formula>#REF!=4</formula>
    </cfRule>
  </conditionalFormatting>
  <conditionalFormatting sqref="H6:H13">
    <cfRule type="expression" dxfId="39" priority="27">
      <formula>AND($B6=0,#REF!=1,LEFT($C6,1)="A")</formula>
    </cfRule>
    <cfRule type="expression" dxfId="38" priority="28">
      <formula>#REF!=3</formula>
    </cfRule>
    <cfRule type="expression" dxfId="37" priority="29">
      <formula>#REF!=2</formula>
    </cfRule>
    <cfRule type="expression" dxfId="36" priority="30">
      <formula>AND(#REF!=1,OR($B6&lt;&gt;0,LEFT($C6,1)="I",LEFT($C6,1)="C",RIGHT($C6,1)="X"))</formula>
    </cfRule>
    <cfRule type="expression" dxfId="35" priority="31">
      <formula>#REF!=0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40"/>
  <sheetViews>
    <sheetView zoomScaleNormal="100" workbookViewId="0">
      <pane ySplit="13" topLeftCell="A644" activePane="bottomLeft" state="frozen"/>
      <selection pane="bottomLeft" activeCell="J620" sqref="J620"/>
    </sheetView>
  </sheetViews>
  <sheetFormatPr defaultRowHeight="15" x14ac:dyDescent="0.25"/>
  <cols>
    <col min="1" max="1" width="11" bestFit="1" customWidth="1"/>
    <col min="5" max="5" width="47.5703125" customWidth="1"/>
    <col min="6" max="6" width="19.85546875" customWidth="1"/>
    <col min="7" max="7" width="16.28515625" bestFit="1" customWidth="1"/>
    <col min="8" max="8" width="11.85546875" customWidth="1"/>
    <col min="9" max="9" width="15.85546875" bestFit="1" customWidth="1"/>
    <col min="10" max="10" width="13" customWidth="1"/>
    <col min="11" max="11" width="13.7109375" bestFit="1" customWidth="1"/>
    <col min="12" max="12" width="12.140625" bestFit="1" customWidth="1"/>
    <col min="13" max="13" width="9.5703125" bestFit="1" customWidth="1"/>
  </cols>
  <sheetData>
    <row r="1" spans="1:24" ht="15" customHeight="1" x14ac:dyDescent="0.25">
      <c r="A1" s="75"/>
      <c r="B1" s="75"/>
      <c r="C1" s="13"/>
      <c r="D1" s="13"/>
      <c r="E1" s="86"/>
      <c r="F1" s="86"/>
      <c r="G1" s="86"/>
      <c r="H1" s="86"/>
      <c r="I1" s="86"/>
      <c r="J1" s="86"/>
      <c r="K1" s="86"/>
      <c r="L1" s="86"/>
      <c r="M1" s="87"/>
    </row>
    <row r="2" spans="1:24" ht="15" customHeight="1" x14ac:dyDescent="0.3">
      <c r="A2" s="76" t="s">
        <v>2</v>
      </c>
      <c r="B2" s="76"/>
      <c r="C2" s="79"/>
      <c r="D2" s="409" t="s">
        <v>1670</v>
      </c>
      <c r="E2" s="410"/>
      <c r="F2" s="410"/>
      <c r="G2" s="411"/>
      <c r="H2" s="411"/>
      <c r="I2" s="411"/>
      <c r="J2" s="411"/>
      <c r="K2" s="411"/>
      <c r="L2" s="411"/>
      <c r="M2" s="411"/>
      <c r="N2" s="82"/>
      <c r="X2">
        <v>1000</v>
      </c>
    </row>
    <row r="3" spans="1:24" ht="15" customHeight="1" x14ac:dyDescent="0.25">
      <c r="A3" s="75"/>
      <c r="B3" s="75"/>
      <c r="C3" s="79"/>
      <c r="D3" s="13"/>
      <c r="E3" s="86"/>
      <c r="F3" s="86"/>
      <c r="G3" s="86"/>
      <c r="H3" s="86"/>
      <c r="I3" s="86"/>
      <c r="J3" s="86"/>
      <c r="K3" s="86"/>
      <c r="L3" s="86"/>
      <c r="M3" s="87"/>
      <c r="N3" s="82"/>
    </row>
    <row r="4" spans="1:24" ht="15" customHeight="1" x14ac:dyDescent="0.25">
      <c r="A4" s="75"/>
      <c r="B4" s="75"/>
      <c r="C4" s="79"/>
      <c r="D4" s="13"/>
      <c r="E4" s="3"/>
      <c r="F4" s="3"/>
      <c r="G4" s="3"/>
      <c r="H4" s="3"/>
      <c r="I4" s="3"/>
      <c r="J4" s="3"/>
      <c r="K4" s="3"/>
      <c r="L4" s="3"/>
      <c r="M4" s="64"/>
      <c r="N4" s="82"/>
    </row>
    <row r="5" spans="1:24" ht="15" customHeight="1" x14ac:dyDescent="0.25">
      <c r="A5" s="77"/>
      <c r="B5" s="78"/>
      <c r="C5" s="412"/>
      <c r="D5" s="412"/>
      <c r="E5" s="413"/>
      <c r="F5" s="81"/>
      <c r="G5" s="81"/>
      <c r="H5" s="5"/>
      <c r="I5" s="4"/>
      <c r="J5" s="70"/>
      <c r="K5" s="4"/>
      <c r="L5" s="71"/>
      <c r="M5" s="65"/>
      <c r="N5" s="82"/>
    </row>
    <row r="6" spans="1:24" ht="15" customHeight="1" x14ac:dyDescent="0.25">
      <c r="A6" s="75"/>
      <c r="B6" s="75"/>
      <c r="C6" s="13"/>
      <c r="D6" s="79"/>
      <c r="E6" s="413"/>
      <c r="F6" s="6"/>
      <c r="G6" s="6"/>
      <c r="H6" s="6"/>
      <c r="I6" s="6"/>
      <c r="J6" s="6"/>
      <c r="K6" s="6"/>
      <c r="L6" s="6"/>
      <c r="M6" s="66"/>
      <c r="N6" s="82"/>
    </row>
    <row r="7" spans="1:24" ht="15" customHeight="1" x14ac:dyDescent="0.25">
      <c r="A7" s="75"/>
      <c r="B7" s="75"/>
      <c r="C7" s="79"/>
      <c r="D7" s="79"/>
      <c r="E7" s="413"/>
      <c r="F7" s="7"/>
      <c r="G7" s="6"/>
      <c r="H7" s="6"/>
      <c r="I7" s="6"/>
      <c r="J7" s="6"/>
      <c r="K7" s="6"/>
      <c r="L7" s="6"/>
      <c r="M7" s="66"/>
      <c r="N7" s="82"/>
    </row>
    <row r="8" spans="1:24" ht="15" customHeight="1" x14ac:dyDescent="0.25">
      <c r="A8" s="75"/>
      <c r="B8" s="75"/>
      <c r="C8" s="79"/>
      <c r="D8" s="79"/>
      <c r="E8" s="79"/>
      <c r="F8" s="6"/>
      <c r="G8" s="6"/>
      <c r="H8" s="6"/>
      <c r="I8" s="6"/>
      <c r="J8" s="6"/>
      <c r="K8" s="6"/>
      <c r="L8" s="6"/>
      <c r="M8" s="66"/>
    </row>
    <row r="9" spans="1:24" ht="15" customHeight="1" x14ac:dyDescent="0.25">
      <c r="A9" s="75"/>
      <c r="B9" s="75"/>
      <c r="C9" s="79"/>
      <c r="D9" s="79"/>
      <c r="E9" s="79"/>
      <c r="F9" s="1" t="s">
        <v>3</v>
      </c>
      <c r="G9" s="8" t="s">
        <v>4</v>
      </c>
      <c r="H9" s="8" t="s">
        <v>4</v>
      </c>
      <c r="I9" s="8" t="s">
        <v>4</v>
      </c>
      <c r="J9" s="8" t="s">
        <v>1669</v>
      </c>
      <c r="K9" s="103" t="s">
        <v>1664</v>
      </c>
      <c r="L9" s="74" t="s">
        <v>1665</v>
      </c>
      <c r="M9" s="67"/>
    </row>
    <row r="10" spans="1:24" ht="15" customHeight="1" x14ac:dyDescent="0.25">
      <c r="A10" s="75"/>
      <c r="B10" s="75"/>
      <c r="C10" s="79"/>
      <c r="D10" s="79"/>
      <c r="E10" s="79"/>
      <c r="F10" s="1" t="s">
        <v>5</v>
      </c>
      <c r="G10" s="8" t="s">
        <v>0</v>
      </c>
      <c r="H10" s="8">
        <v>2018</v>
      </c>
      <c r="I10" s="8" t="s">
        <v>1</v>
      </c>
      <c r="J10" s="8" t="s">
        <v>1</v>
      </c>
      <c r="K10" s="68">
        <v>2019</v>
      </c>
      <c r="L10" s="72"/>
      <c r="M10" s="67"/>
    </row>
    <row r="11" spans="1:24" ht="15" customHeight="1" thickBot="1" x14ac:dyDescent="0.3">
      <c r="A11" s="75"/>
      <c r="B11" s="75"/>
      <c r="C11" s="79"/>
      <c r="D11" s="79"/>
      <c r="E11" s="80"/>
      <c r="F11" s="1" t="s">
        <v>6</v>
      </c>
      <c r="G11" s="9" t="s">
        <v>8</v>
      </c>
      <c r="H11" s="9" t="s">
        <v>8</v>
      </c>
      <c r="I11" s="2" t="s">
        <v>7</v>
      </c>
      <c r="J11" s="9" t="s">
        <v>8</v>
      </c>
      <c r="K11" s="69"/>
      <c r="L11" s="73"/>
      <c r="M11" s="67"/>
    </row>
    <row r="12" spans="1:24" ht="15" customHeight="1" x14ac:dyDescent="0.25">
      <c r="A12" s="75"/>
      <c r="B12" s="75"/>
      <c r="C12" s="79"/>
      <c r="D12" s="13"/>
      <c r="E12" s="6"/>
      <c r="F12" s="10"/>
      <c r="G12" s="6"/>
      <c r="H12" s="6"/>
      <c r="I12" s="6"/>
      <c r="J12" s="6"/>
      <c r="K12" s="6"/>
      <c r="L12" s="6"/>
      <c r="M12" s="66"/>
    </row>
    <row r="13" spans="1:24" x14ac:dyDescent="0.25">
      <c r="A13" s="14" t="s">
        <v>9</v>
      </c>
      <c r="B13" s="15" t="s">
        <v>915</v>
      </c>
      <c r="C13" s="16" t="s">
        <v>913</v>
      </c>
      <c r="D13" s="16" t="s">
        <v>914</v>
      </c>
      <c r="E13" s="101" t="s">
        <v>1688</v>
      </c>
      <c r="F13" s="86" t="s">
        <v>1689</v>
      </c>
      <c r="G13" s="102">
        <f>+ROUND(Návrh!H10,-3)/$X$2</f>
        <v>186173</v>
      </c>
      <c r="H13" s="102">
        <f>+ROUND(Návrh!I10,-3)/$X$2</f>
        <v>150989</v>
      </c>
      <c r="I13" s="102">
        <f>+ROUND(Návrh!J10,-3)/$X$2</f>
        <v>0</v>
      </c>
      <c r="J13" s="102" t="e">
        <f>+ROUND(Návrh!#REF!,-3)/$X$2</f>
        <v>#REF!</v>
      </c>
      <c r="K13" s="102">
        <f>+ROUND(Návrh!K10,-3)/$X$2</f>
        <v>181164</v>
      </c>
      <c r="L13" s="102">
        <f>+ROUND(Návrh!L10,-3)/$X$2</f>
        <v>0</v>
      </c>
    </row>
    <row r="14" spans="1:24" x14ac:dyDescent="0.25">
      <c r="A14" s="48" t="s">
        <v>10</v>
      </c>
      <c r="B14" s="46"/>
      <c r="C14" s="47"/>
      <c r="D14" s="47"/>
      <c r="E14" s="414"/>
      <c r="F14" s="414"/>
      <c r="G14" s="90">
        <f>+ROUND(Návrh!H11,-3)/$X$2</f>
        <v>-5765412</v>
      </c>
      <c r="H14" s="90">
        <f>+ROUND(Návrh!I11,-3)/$X$2</f>
        <v>-6551767</v>
      </c>
      <c r="I14" s="90">
        <f>+ROUND(Návrh!J11,-3)/$X$2</f>
        <v>-7003666</v>
      </c>
      <c r="J14" s="90" t="e">
        <f>+ROUND(Návrh!#REF!,-3)/$X$2</f>
        <v>#REF!</v>
      </c>
      <c r="K14" s="90">
        <f>+ROUND(Návrh!K11,-3)/$X$2</f>
        <v>-7196887</v>
      </c>
      <c r="L14" s="90">
        <f>+ROUND(Návrh!L11,-3)/$X$2</f>
        <v>-7718184</v>
      </c>
      <c r="M14" s="67"/>
      <c r="N14" s="67"/>
    </row>
    <row r="15" spans="1:24" x14ac:dyDescent="0.25">
      <c r="A15" s="41" t="s">
        <v>11</v>
      </c>
      <c r="B15" s="41"/>
      <c r="C15" s="40"/>
      <c r="D15" s="40"/>
      <c r="E15" s="383" t="s">
        <v>12</v>
      </c>
      <c r="F15" s="384"/>
      <c r="G15" s="89">
        <f>+ROUND(Návrh!H12,-3)/$X$2</f>
        <v>-2525631</v>
      </c>
      <c r="H15" s="89">
        <f>+ROUND(Návrh!I12,-3)/$X$2</f>
        <v>-2947929</v>
      </c>
      <c r="I15" s="89">
        <f>+ROUND(Návrh!J12,-3)/$X$2</f>
        <v>-3074724</v>
      </c>
      <c r="J15" s="89" t="e">
        <f>+ROUND(Návrh!#REF!,-3)/$X$2</f>
        <v>#REF!</v>
      </c>
      <c r="K15" s="89">
        <f>+ROUND(Návrh!K12,-3)/$X$2</f>
        <v>-3197178</v>
      </c>
      <c r="L15" s="89">
        <f>+ROUND(Návrh!L12,-3)/$X$2</f>
        <v>-3453995</v>
      </c>
    </row>
    <row r="16" spans="1:24" x14ac:dyDescent="0.25">
      <c r="A16" s="38" t="s">
        <v>13</v>
      </c>
      <c r="B16" s="38"/>
      <c r="C16" s="22"/>
      <c r="D16" s="22"/>
      <c r="E16" s="385" t="s">
        <v>14</v>
      </c>
      <c r="F16" s="386"/>
      <c r="G16" s="91">
        <f>+ROUND(Návrh!H13,-3)/$X$2</f>
        <v>-2249875</v>
      </c>
      <c r="H16" s="91">
        <f>+ROUND(Návrh!I13,-3)/$X$2</f>
        <v>-2615351</v>
      </c>
      <c r="I16" s="91">
        <f>+ROUND(Návrh!J13,-3)/$X$2</f>
        <v>-2717027</v>
      </c>
      <c r="J16" s="91" t="e">
        <f>+ROUND(Návrh!#REF!,-3)/$X$2</f>
        <v>#REF!</v>
      </c>
      <c r="K16" s="91">
        <f>+ROUND(Návrh!K13,-3)/$X$2</f>
        <v>-2844951</v>
      </c>
      <c r="L16" s="91">
        <f>+ROUND(Návrh!L13,-3)/$X$2</f>
        <v>-3091567</v>
      </c>
    </row>
    <row r="17" spans="1:13" x14ac:dyDescent="0.25">
      <c r="A17" s="26" t="s">
        <v>1667</v>
      </c>
      <c r="B17" s="26"/>
      <c r="C17" s="23"/>
      <c r="D17" s="23"/>
      <c r="E17" s="379" t="s">
        <v>15</v>
      </c>
      <c r="F17" s="380"/>
      <c r="G17" s="92">
        <f>+ROUND(Návrh!H14,-3)/$X$2</f>
        <v>181</v>
      </c>
      <c r="H17" s="92">
        <f>+ROUND(Návrh!I14,-3)/$X$2</f>
        <v>161</v>
      </c>
      <c r="I17" s="92">
        <f>+ROUND(Návrh!J14,-3)/$X$2</f>
        <v>0</v>
      </c>
      <c r="J17" s="92" t="e">
        <f>+ROUND(Návrh!#REF!,-3)/$X$2</f>
        <v>#REF!</v>
      </c>
      <c r="K17" s="92">
        <f>+ROUND(Návrh!K14,-3)/$X$2</f>
        <v>115</v>
      </c>
      <c r="L17" s="92">
        <f>+ROUND(Návrh!L14,-3)/$X$2</f>
        <v>0</v>
      </c>
    </row>
    <row r="18" spans="1:13" x14ac:dyDescent="0.25">
      <c r="A18" s="42" t="s">
        <v>16</v>
      </c>
      <c r="B18" s="14"/>
      <c r="C18" s="13"/>
      <c r="D18" s="13"/>
      <c r="E18" s="373" t="s">
        <v>17</v>
      </c>
      <c r="F18" s="374"/>
      <c r="G18" s="88">
        <f>+ROUND(Návrh!H15,-3)/$X$2</f>
        <v>181</v>
      </c>
      <c r="H18" s="88">
        <f>+ROUND(Návrh!I15,-3)/$X$2</f>
        <v>161</v>
      </c>
      <c r="I18" s="88">
        <f>+ROUND(Návrh!J15,-3)/$X$2</f>
        <v>0</v>
      </c>
      <c r="J18" s="88" t="e">
        <f>+ROUND(Návrh!#REF!,-3)/$X$2</f>
        <v>#REF!</v>
      </c>
      <c r="K18" s="88">
        <f>+ROUND(Návrh!K15,-3)/$X$2</f>
        <v>115</v>
      </c>
      <c r="L18" s="88">
        <f>+ROUND(Návrh!L15,-3)/$X$2</f>
        <v>0</v>
      </c>
      <c r="M18" s="67"/>
    </row>
    <row r="19" spans="1:13" x14ac:dyDescent="0.25">
      <c r="A19" s="26" t="s">
        <v>1666</v>
      </c>
      <c r="B19" s="24"/>
      <c r="C19" s="23"/>
      <c r="D19" s="23"/>
      <c r="E19" s="379" t="s">
        <v>18</v>
      </c>
      <c r="F19" s="380"/>
      <c r="G19" s="92">
        <f>+ROUND(Návrh!H16,-3)/$X$2</f>
        <v>0</v>
      </c>
      <c r="H19" s="92">
        <f>+ROUND(Návrh!I16,-3)/$X$2</f>
        <v>4</v>
      </c>
      <c r="I19" s="92">
        <f>+ROUND(Návrh!J16,-3)/$X$2</f>
        <v>0</v>
      </c>
      <c r="J19" s="92" t="e">
        <f>+ROUND(Návrh!#REF!,-3)/$X$2</f>
        <v>#REF!</v>
      </c>
      <c r="K19" s="92">
        <f>+ROUND(Návrh!K16,-3)/$X$2</f>
        <v>22</v>
      </c>
      <c r="L19" s="92">
        <f>+ROUND(Návrh!L16,-3)/$X$2</f>
        <v>0</v>
      </c>
      <c r="M19" s="67"/>
    </row>
    <row r="20" spans="1:13" x14ac:dyDescent="0.25">
      <c r="A20" s="42" t="s">
        <v>925</v>
      </c>
      <c r="B20" s="27" t="s">
        <v>916</v>
      </c>
      <c r="C20" s="28" t="s">
        <v>917</v>
      </c>
      <c r="D20" s="28" t="s">
        <v>917</v>
      </c>
      <c r="E20" s="373" t="s">
        <v>19</v>
      </c>
      <c r="F20" s="374"/>
      <c r="G20" s="88">
        <f>+ROUND(Návrh!H17,-3)/$X$2</f>
        <v>0</v>
      </c>
      <c r="H20" s="88">
        <f>+ROUND(Návrh!I17,-3)/$X$2</f>
        <v>4</v>
      </c>
      <c r="I20" s="88">
        <f>+ROUND(Návrh!J17,-3)/$X$2</f>
        <v>0</v>
      </c>
      <c r="J20" s="88" t="e">
        <f>+ROUND(Návrh!#REF!,-3)/$X$2</f>
        <v>#REF!</v>
      </c>
      <c r="K20" s="88">
        <f>+ROUND(Návrh!K17,-3)/$X$2</f>
        <v>22</v>
      </c>
      <c r="L20" s="88">
        <f>+ROUND(Návrh!L17,-3)/$X$2</f>
        <v>0</v>
      </c>
      <c r="M20" s="67"/>
    </row>
    <row r="21" spans="1:13" x14ac:dyDescent="0.25">
      <c r="A21" s="26" t="s">
        <v>926</v>
      </c>
      <c r="B21" s="24"/>
      <c r="C21" s="23"/>
      <c r="D21" s="23"/>
      <c r="E21" s="379" t="s">
        <v>20</v>
      </c>
      <c r="F21" s="380"/>
      <c r="G21" s="92">
        <f>+ROUND(Návrh!H18,-3)/$X$2</f>
        <v>-9919</v>
      </c>
      <c r="H21" s="92">
        <f>+ROUND(Návrh!I18,-3)/$X$2</f>
        <v>-9212</v>
      </c>
      <c r="I21" s="92">
        <f>+ROUND(Návrh!J18,-3)/$X$2</f>
        <v>-10000</v>
      </c>
      <c r="J21" s="92" t="e">
        <f>+ROUND(Návrh!#REF!,-3)/$X$2</f>
        <v>#REF!</v>
      </c>
      <c r="K21" s="92">
        <f>+ROUND(Návrh!K18,-3)/$X$2</f>
        <v>-9880</v>
      </c>
      <c r="L21" s="92">
        <f>+ROUND(Návrh!L18,-3)/$X$2</f>
        <v>-10000</v>
      </c>
      <c r="M21" s="67"/>
    </row>
    <row r="22" spans="1:13" x14ac:dyDescent="0.25">
      <c r="A22" s="42" t="s">
        <v>927</v>
      </c>
      <c r="B22" s="27" t="s">
        <v>916</v>
      </c>
      <c r="C22" s="28" t="s">
        <v>917</v>
      </c>
      <c r="D22" s="28" t="s">
        <v>917</v>
      </c>
      <c r="E22" s="373" t="s">
        <v>21</v>
      </c>
      <c r="F22" s="374"/>
      <c r="G22" s="88">
        <f>+ROUND(Návrh!H19,-3)/$X$2</f>
        <v>-9919</v>
      </c>
      <c r="H22" s="88">
        <f>+ROUND(Návrh!I19,-3)/$X$2</f>
        <v>-9212</v>
      </c>
      <c r="I22" s="88">
        <f>+ROUND(Návrh!J19,-3)/$X$2</f>
        <v>-10000</v>
      </c>
      <c r="J22" s="88" t="e">
        <f>+ROUND(Návrh!#REF!,-3)/$X$2</f>
        <v>#REF!</v>
      </c>
      <c r="K22" s="88">
        <f>+ROUND(Návrh!K19,-3)/$X$2</f>
        <v>-9880</v>
      </c>
      <c r="L22" s="88">
        <f>+ROUND(Návrh!L19,-3)/$X$2</f>
        <v>-10000</v>
      </c>
      <c r="M22" s="67"/>
    </row>
    <row r="23" spans="1:13" x14ac:dyDescent="0.25">
      <c r="A23" s="26" t="s">
        <v>928</v>
      </c>
      <c r="B23" s="24"/>
      <c r="C23" s="23"/>
      <c r="D23" s="23"/>
      <c r="E23" s="379" t="s">
        <v>22</v>
      </c>
      <c r="F23" s="380"/>
      <c r="G23" s="92">
        <f>+ROUND(Návrh!H20,-3)/$X$2</f>
        <v>-2802</v>
      </c>
      <c r="H23" s="92">
        <f>+ROUND(Návrh!I20,-3)/$X$2</f>
        <v>-2974</v>
      </c>
      <c r="I23" s="92">
        <f>+ROUND(Návrh!J20,-3)/$X$2</f>
        <v>-3040</v>
      </c>
      <c r="J23" s="92" t="e">
        <f>+ROUND(Návrh!#REF!,-3)/$X$2</f>
        <v>#REF!</v>
      </c>
      <c r="K23" s="92">
        <f>+ROUND(Návrh!K20,-3)/$X$2</f>
        <v>-3182</v>
      </c>
      <c r="L23" s="92">
        <f>+ROUND(Návrh!L20,-3)/$X$2</f>
        <v>-3250</v>
      </c>
      <c r="M23" s="67"/>
    </row>
    <row r="24" spans="1:13" x14ac:dyDescent="0.25">
      <c r="A24" s="42" t="s">
        <v>929</v>
      </c>
      <c r="B24" s="20" t="s">
        <v>916</v>
      </c>
      <c r="C24" s="20" t="s">
        <v>919</v>
      </c>
      <c r="D24" s="20" t="s">
        <v>918</v>
      </c>
      <c r="E24" s="373" t="s">
        <v>23</v>
      </c>
      <c r="F24" s="374"/>
      <c r="G24" s="88">
        <f>+ROUND(Návrh!H21,-3)/$X$2</f>
        <v>-516</v>
      </c>
      <c r="H24" s="88">
        <f>+ROUND(Návrh!I21,-3)/$X$2</f>
        <v>-477</v>
      </c>
      <c r="I24" s="88">
        <f>+ROUND(Návrh!J21,-3)/$X$2</f>
        <v>-550</v>
      </c>
      <c r="J24" s="88" t="e">
        <f>+ROUND(Návrh!#REF!,-3)/$X$2</f>
        <v>#REF!</v>
      </c>
      <c r="K24" s="88">
        <f>+ROUND(Návrh!K21,-3)/$X$2</f>
        <v>-463</v>
      </c>
      <c r="L24" s="88">
        <f>+ROUND(Návrh!L21,-3)/$X$2</f>
        <v>-550</v>
      </c>
      <c r="M24" s="67"/>
    </row>
    <row r="25" spans="1:13" x14ac:dyDescent="0.25">
      <c r="A25" s="42" t="s">
        <v>930</v>
      </c>
      <c r="B25" s="20" t="s">
        <v>916</v>
      </c>
      <c r="C25" s="20" t="s">
        <v>919</v>
      </c>
      <c r="D25" s="20" t="s">
        <v>918</v>
      </c>
      <c r="E25" s="373" t="s">
        <v>24</v>
      </c>
      <c r="F25" s="374"/>
      <c r="G25" s="88">
        <f>+ROUND(Návrh!H22,-3)/$X$2</f>
        <v>-2141</v>
      </c>
      <c r="H25" s="88">
        <f>+ROUND(Návrh!I22,-3)/$X$2</f>
        <v>-2322</v>
      </c>
      <c r="I25" s="88">
        <f>+ROUND(Návrh!J22,-3)/$X$2</f>
        <v>-2300</v>
      </c>
      <c r="J25" s="88" t="e">
        <f>+ROUND(Návrh!#REF!,-3)/$X$2</f>
        <v>#REF!</v>
      </c>
      <c r="K25" s="88">
        <f>+ROUND(Návrh!K22,-3)/$X$2</f>
        <v>-2551</v>
      </c>
      <c r="L25" s="88">
        <f>+ROUND(Návrh!L22,-3)/$X$2</f>
        <v>-2500</v>
      </c>
      <c r="M25" s="67"/>
    </row>
    <row r="26" spans="1:13" x14ac:dyDescent="0.25">
      <c r="A26" s="42" t="s">
        <v>931</v>
      </c>
      <c r="B26" s="20" t="s">
        <v>916</v>
      </c>
      <c r="C26" s="20" t="s">
        <v>919</v>
      </c>
      <c r="D26" s="20" t="s">
        <v>918</v>
      </c>
      <c r="E26" s="373" t="s">
        <v>25</v>
      </c>
      <c r="F26" s="374"/>
      <c r="G26" s="88">
        <f>+ROUND(Návrh!H23,-3)/$X$2</f>
        <v>-145</v>
      </c>
      <c r="H26" s="88">
        <f>+ROUND(Návrh!I23,-3)/$X$2</f>
        <v>-172</v>
      </c>
      <c r="I26" s="88">
        <f>+ROUND(Návrh!J23,-3)/$X$2</f>
        <v>-190</v>
      </c>
      <c r="J26" s="88" t="e">
        <f>+ROUND(Návrh!#REF!,-3)/$X$2</f>
        <v>#REF!</v>
      </c>
      <c r="K26" s="88">
        <f>+ROUND(Návrh!K23,-3)/$X$2</f>
        <v>-168</v>
      </c>
      <c r="L26" s="88">
        <f>+ROUND(Návrh!L23,-3)/$X$2</f>
        <v>-200</v>
      </c>
      <c r="M26" s="67"/>
    </row>
    <row r="27" spans="1:13" x14ac:dyDescent="0.25">
      <c r="A27" s="42" t="s">
        <v>932</v>
      </c>
      <c r="B27" s="20"/>
      <c r="C27" s="20"/>
      <c r="D27" s="20"/>
      <c r="E27" s="373" t="s">
        <v>26</v>
      </c>
      <c r="F27" s="374"/>
      <c r="G27" s="88">
        <f>+ROUND(Návrh!H24,-3)/$X$2</f>
        <v>0</v>
      </c>
      <c r="H27" s="88">
        <f>+ROUND(Návrh!I24,-3)/$X$2</f>
        <v>-2</v>
      </c>
      <c r="I27" s="88">
        <f>+ROUND(Návrh!J24,-3)/$X$2</f>
        <v>0</v>
      </c>
      <c r="J27" s="88" t="e">
        <f>+ROUND(Návrh!#REF!,-3)/$X$2</f>
        <v>#REF!</v>
      </c>
      <c r="K27" s="88">
        <f>+ROUND(Návrh!K24,-3)/$X$2</f>
        <v>0</v>
      </c>
      <c r="L27" s="88">
        <f>+ROUND(Návrh!L24,-3)/$X$2</f>
        <v>0</v>
      </c>
      <c r="M27" s="67"/>
    </row>
    <row r="28" spans="1:13" x14ac:dyDescent="0.25">
      <c r="A28" s="26" t="s">
        <v>933</v>
      </c>
      <c r="B28" s="24"/>
      <c r="C28" s="23"/>
      <c r="D28" s="23"/>
      <c r="E28" s="379" t="s">
        <v>27</v>
      </c>
      <c r="F28" s="380"/>
      <c r="G28" s="92">
        <f>+ROUND(Návrh!H25,-3)/$X$2</f>
        <v>-1235315</v>
      </c>
      <c r="H28" s="92">
        <f>+ROUND(Návrh!I25,-3)/$X$2</f>
        <v>-1473358</v>
      </c>
      <c r="I28" s="92">
        <f>+ROUND(Návrh!J25,-3)/$X$2</f>
        <v>-1534708</v>
      </c>
      <c r="J28" s="92" t="e">
        <f>+ROUND(Návrh!#REF!,-3)/$X$2</f>
        <v>#REF!</v>
      </c>
      <c r="K28" s="92">
        <f>+ROUND(Návrh!K25,-3)/$X$2</f>
        <v>-1644867</v>
      </c>
      <c r="L28" s="92">
        <f>+ROUND(Návrh!L25,-3)/$X$2</f>
        <v>-1834015</v>
      </c>
      <c r="M28" s="67"/>
    </row>
    <row r="29" spans="1:13" x14ac:dyDescent="0.25">
      <c r="A29" s="42" t="s">
        <v>934</v>
      </c>
      <c r="B29" s="27" t="s">
        <v>916</v>
      </c>
      <c r="C29" s="28" t="s">
        <v>917</v>
      </c>
      <c r="D29" s="28" t="s">
        <v>917</v>
      </c>
      <c r="E29" s="373" t="s">
        <v>28</v>
      </c>
      <c r="F29" s="374"/>
      <c r="G29" s="88">
        <f>+ROUND(Návrh!H26,-3)/$X$2</f>
        <v>-171055</v>
      </c>
      <c r="H29" s="88">
        <f>+ROUND(Návrh!I26,-3)/$X$2</f>
        <v>-176497</v>
      </c>
      <c r="I29" s="88">
        <f>+ROUND(Návrh!J26,-3)/$X$2</f>
        <v>-184418</v>
      </c>
      <c r="J29" s="88" t="e">
        <f>+ROUND(Návrh!#REF!,-3)/$X$2</f>
        <v>#REF!</v>
      </c>
      <c r="K29" s="88">
        <f>+ROUND(Návrh!K26,-3)/$X$2</f>
        <v>-180557</v>
      </c>
      <c r="L29" s="88">
        <f>+ROUND(Návrh!L26,-3)/$X$2</f>
        <v>-208039</v>
      </c>
      <c r="M29" s="67"/>
    </row>
    <row r="30" spans="1:13" x14ac:dyDescent="0.25">
      <c r="A30" s="42" t="s">
        <v>935</v>
      </c>
      <c r="B30" s="27" t="s">
        <v>916</v>
      </c>
      <c r="C30" s="28" t="s">
        <v>917</v>
      </c>
      <c r="D30" s="28" t="s">
        <v>917</v>
      </c>
      <c r="E30" s="373" t="s">
        <v>29</v>
      </c>
      <c r="F30" s="374"/>
      <c r="G30" s="88">
        <f>+ROUND(Návrh!H27,-3)/$X$2</f>
        <v>-10145</v>
      </c>
      <c r="H30" s="88">
        <f>+ROUND(Návrh!I27,-3)/$X$2</f>
        <v>-8987</v>
      </c>
      <c r="I30" s="88">
        <f>+ROUND(Návrh!J27,-3)/$X$2</f>
        <v>-8733</v>
      </c>
      <c r="J30" s="88" t="e">
        <f>+ROUND(Návrh!#REF!,-3)/$X$2</f>
        <v>#REF!</v>
      </c>
      <c r="K30" s="88">
        <f>+ROUND(Návrh!K27,-3)/$X$2</f>
        <v>-9177</v>
      </c>
      <c r="L30" s="88">
        <f>+ROUND(Návrh!L27,-3)/$X$2</f>
        <v>-8950</v>
      </c>
      <c r="M30" s="67"/>
    </row>
    <row r="31" spans="1:13" x14ac:dyDescent="0.25">
      <c r="A31" s="42" t="s">
        <v>936</v>
      </c>
      <c r="B31" s="27" t="s">
        <v>916</v>
      </c>
      <c r="C31" s="28" t="s">
        <v>917</v>
      </c>
      <c r="D31" s="28" t="s">
        <v>917</v>
      </c>
      <c r="E31" s="373" t="s">
        <v>30</v>
      </c>
      <c r="F31" s="374"/>
      <c r="G31" s="88">
        <f>+ROUND(Návrh!H28,-3)/$X$2</f>
        <v>-242</v>
      </c>
      <c r="H31" s="88">
        <f>+ROUND(Návrh!I28,-3)/$X$2</f>
        <v>-386</v>
      </c>
      <c r="I31" s="88">
        <f>+ROUND(Návrh!J28,-3)/$X$2</f>
        <v>-415</v>
      </c>
      <c r="J31" s="88" t="e">
        <f>+ROUND(Návrh!#REF!,-3)/$X$2</f>
        <v>#REF!</v>
      </c>
      <c r="K31" s="88">
        <f>+ROUND(Návrh!K28,-3)/$X$2</f>
        <v>-280</v>
      </c>
      <c r="L31" s="88">
        <f>+ROUND(Návrh!L28,-3)/$X$2</f>
        <v>-340</v>
      </c>
      <c r="M31" s="67"/>
    </row>
    <row r="32" spans="1:13" x14ac:dyDescent="0.25">
      <c r="A32" s="42" t="s">
        <v>937</v>
      </c>
      <c r="B32" s="28" t="s">
        <v>916</v>
      </c>
      <c r="C32" s="28" t="s">
        <v>920</v>
      </c>
      <c r="D32" s="28" t="s">
        <v>921</v>
      </c>
      <c r="E32" s="373" t="s">
        <v>31</v>
      </c>
      <c r="F32" s="374"/>
      <c r="G32" s="88">
        <f>+ROUND(Návrh!H29,-3)/$X$2</f>
        <v>-24978</v>
      </c>
      <c r="H32" s="88">
        <f>+ROUND(Návrh!I29,-3)/$X$2</f>
        <v>-26092</v>
      </c>
      <c r="I32" s="88">
        <f>+ROUND(Návrh!J29,-3)/$X$2</f>
        <v>-26000</v>
      </c>
      <c r="J32" s="88" t="e">
        <f>+ROUND(Návrh!#REF!,-3)/$X$2</f>
        <v>#REF!</v>
      </c>
      <c r="K32" s="88">
        <f>+ROUND(Návrh!K29,-3)/$X$2</f>
        <v>-25306</v>
      </c>
      <c r="L32" s="88">
        <f>+ROUND(Návrh!L29,-3)/$X$2</f>
        <v>-26020</v>
      </c>
      <c r="M32" s="67"/>
    </row>
    <row r="33" spans="1:13" x14ac:dyDescent="0.25">
      <c r="A33" s="42" t="s">
        <v>938</v>
      </c>
      <c r="B33" s="27" t="s">
        <v>916</v>
      </c>
      <c r="C33" s="28" t="s">
        <v>917</v>
      </c>
      <c r="D33" s="28" t="s">
        <v>917</v>
      </c>
      <c r="E33" s="373" t="s">
        <v>32</v>
      </c>
      <c r="F33" s="374"/>
      <c r="G33" s="88">
        <f>+ROUND(Návrh!H30,-3)/$X$2</f>
        <v>-2777</v>
      </c>
      <c r="H33" s="88">
        <f>+ROUND(Návrh!I30,-3)/$X$2</f>
        <v>-2721</v>
      </c>
      <c r="I33" s="88">
        <f>+ROUND(Návrh!J30,-3)/$X$2</f>
        <v>-2521</v>
      </c>
      <c r="J33" s="88" t="e">
        <f>+ROUND(Návrh!#REF!,-3)/$X$2</f>
        <v>#REF!</v>
      </c>
      <c r="K33" s="88">
        <f>+ROUND(Návrh!K30,-3)/$X$2</f>
        <v>-3526</v>
      </c>
      <c r="L33" s="88">
        <f>+ROUND(Návrh!L30,-3)/$X$2</f>
        <v>-3571</v>
      </c>
      <c r="M33" s="67"/>
    </row>
    <row r="34" spans="1:13" x14ac:dyDescent="0.25">
      <c r="A34" s="42" t="s">
        <v>939</v>
      </c>
      <c r="B34" s="27" t="s">
        <v>916</v>
      </c>
      <c r="C34" s="28" t="s">
        <v>917</v>
      </c>
      <c r="D34" s="28" t="s">
        <v>917</v>
      </c>
      <c r="E34" s="373" t="s">
        <v>33</v>
      </c>
      <c r="F34" s="374"/>
      <c r="G34" s="88">
        <f>+ROUND(Návrh!H31,-3)/$X$2</f>
        <v>-1653</v>
      </c>
      <c r="H34" s="88">
        <f>+ROUND(Návrh!I31,-3)/$X$2</f>
        <v>-1500</v>
      </c>
      <c r="I34" s="88">
        <f>+ROUND(Návrh!J31,-3)/$X$2</f>
        <v>-1768</v>
      </c>
      <c r="J34" s="88" t="e">
        <f>+ROUND(Návrh!#REF!,-3)/$X$2</f>
        <v>#REF!</v>
      </c>
      <c r="K34" s="88">
        <f>+ROUND(Návrh!K31,-3)/$X$2</f>
        <v>-1547</v>
      </c>
      <c r="L34" s="88">
        <f>+ROUND(Návrh!L31,-3)/$X$2</f>
        <v>-1805</v>
      </c>
      <c r="M34" s="67"/>
    </row>
    <row r="35" spans="1:13" x14ac:dyDescent="0.25">
      <c r="A35" s="42" t="s">
        <v>940</v>
      </c>
      <c r="B35" s="27" t="s">
        <v>916</v>
      </c>
      <c r="C35" s="28" t="s">
        <v>917</v>
      </c>
      <c r="D35" s="28" t="s">
        <v>917</v>
      </c>
      <c r="E35" s="373" t="s">
        <v>34</v>
      </c>
      <c r="F35" s="374"/>
      <c r="G35" s="88">
        <f>+ROUND(Návrh!H32,-3)/$X$2</f>
        <v>-48159</v>
      </c>
      <c r="H35" s="88">
        <f>+ROUND(Návrh!I32,-3)/$X$2</f>
        <v>-50782</v>
      </c>
      <c r="I35" s="88">
        <f>+ROUND(Návrh!J32,-3)/$X$2</f>
        <v>-50448</v>
      </c>
      <c r="J35" s="88" t="e">
        <f>+ROUND(Návrh!#REF!,-3)/$X$2</f>
        <v>#REF!</v>
      </c>
      <c r="K35" s="88">
        <f>+ROUND(Návrh!K32,-3)/$X$2</f>
        <v>-60650</v>
      </c>
      <c r="L35" s="88">
        <f>+ROUND(Návrh!L32,-3)/$X$2</f>
        <v>-50793</v>
      </c>
      <c r="M35" s="67"/>
    </row>
    <row r="36" spans="1:13" x14ac:dyDescent="0.25">
      <c r="A36" s="42" t="s">
        <v>941</v>
      </c>
      <c r="B36" s="27" t="s">
        <v>916</v>
      </c>
      <c r="C36" s="28" t="s">
        <v>917</v>
      </c>
      <c r="D36" s="28" t="s">
        <v>917</v>
      </c>
      <c r="E36" s="373" t="s">
        <v>35</v>
      </c>
      <c r="F36" s="374"/>
      <c r="G36" s="88">
        <f>+ROUND(Návrh!H33,-3)/$X$2</f>
        <v>-13421</v>
      </c>
      <c r="H36" s="88">
        <f>+ROUND(Návrh!I33,-3)/$X$2</f>
        <v>-12155</v>
      </c>
      <c r="I36" s="88">
        <f>+ROUND(Návrh!J33,-3)/$X$2</f>
        <v>-12041</v>
      </c>
      <c r="J36" s="88" t="e">
        <f>+ROUND(Návrh!#REF!,-3)/$X$2</f>
        <v>#REF!</v>
      </c>
      <c r="K36" s="88">
        <f>+ROUND(Návrh!K33,-3)/$X$2</f>
        <v>-11799</v>
      </c>
      <c r="L36" s="88">
        <f>+ROUND(Návrh!L33,-3)/$X$2</f>
        <v>-12149</v>
      </c>
      <c r="M36" s="67"/>
    </row>
    <row r="37" spans="1:13" x14ac:dyDescent="0.25">
      <c r="A37" s="42" t="s">
        <v>942</v>
      </c>
      <c r="B37" s="27" t="s">
        <v>916</v>
      </c>
      <c r="C37" s="28" t="s">
        <v>917</v>
      </c>
      <c r="D37" s="28" t="s">
        <v>917</v>
      </c>
      <c r="E37" s="373" t="s">
        <v>36</v>
      </c>
      <c r="F37" s="374"/>
      <c r="G37" s="88">
        <f>+ROUND(Návrh!H34,-3)/$X$2</f>
        <v>-7704</v>
      </c>
      <c r="H37" s="88">
        <f>+ROUND(Návrh!I34,-3)/$X$2</f>
        <v>-7970</v>
      </c>
      <c r="I37" s="88">
        <f>+ROUND(Návrh!J34,-3)/$X$2</f>
        <v>-7960</v>
      </c>
      <c r="J37" s="88" t="e">
        <f>+ROUND(Návrh!#REF!,-3)/$X$2</f>
        <v>#REF!</v>
      </c>
      <c r="K37" s="88">
        <f>+ROUND(Návrh!K34,-3)/$X$2</f>
        <v>-8634</v>
      </c>
      <c r="L37" s="88">
        <f>+ROUND(Návrh!L34,-3)/$X$2</f>
        <v>-8640</v>
      </c>
      <c r="M37" s="67"/>
    </row>
    <row r="38" spans="1:13" x14ac:dyDescent="0.25">
      <c r="A38" s="42" t="s">
        <v>943</v>
      </c>
      <c r="B38" s="27" t="s">
        <v>916</v>
      </c>
      <c r="C38" s="28" t="s">
        <v>917</v>
      </c>
      <c r="D38" s="28" t="s">
        <v>917</v>
      </c>
      <c r="E38" s="373" t="s">
        <v>37</v>
      </c>
      <c r="F38" s="374"/>
      <c r="G38" s="88">
        <f>+ROUND(Návrh!H35,-3)/$X$2</f>
        <v>-19327</v>
      </c>
      <c r="H38" s="88">
        <f>+ROUND(Návrh!I35,-3)/$X$2</f>
        <v>-20720</v>
      </c>
      <c r="I38" s="88">
        <f>+ROUND(Návrh!J35,-3)/$X$2</f>
        <v>-19610</v>
      </c>
      <c r="J38" s="88" t="e">
        <f>+ROUND(Návrh!#REF!,-3)/$X$2</f>
        <v>#REF!</v>
      </c>
      <c r="K38" s="88">
        <f>+ROUND(Návrh!K35,-3)/$X$2</f>
        <v>-26198</v>
      </c>
      <c r="L38" s="88">
        <f>+ROUND(Návrh!L35,-3)/$X$2</f>
        <v>-19475</v>
      </c>
      <c r="M38" s="67"/>
    </row>
    <row r="39" spans="1:13" x14ac:dyDescent="0.25">
      <c r="A39" s="42" t="s">
        <v>944</v>
      </c>
      <c r="B39" s="27" t="s">
        <v>916</v>
      </c>
      <c r="C39" s="28" t="s">
        <v>917</v>
      </c>
      <c r="D39" s="28" t="s">
        <v>917</v>
      </c>
      <c r="E39" s="373" t="s">
        <v>38</v>
      </c>
      <c r="F39" s="374"/>
      <c r="G39" s="88">
        <f>+ROUND(Návrh!H36,-3)/$X$2</f>
        <v>-4089</v>
      </c>
      <c r="H39" s="88">
        <f>+ROUND(Návrh!I36,-3)/$X$2</f>
        <v>-3803</v>
      </c>
      <c r="I39" s="88">
        <f>+ROUND(Návrh!J36,-3)/$X$2</f>
        <v>-3807</v>
      </c>
      <c r="J39" s="88" t="e">
        <f>+ROUND(Návrh!#REF!,-3)/$X$2</f>
        <v>#REF!</v>
      </c>
      <c r="K39" s="88">
        <f>+ROUND(Návrh!K36,-3)/$X$2</f>
        <v>-3630</v>
      </c>
      <c r="L39" s="88">
        <f>+ROUND(Návrh!L36,-3)/$X$2</f>
        <v>-3455</v>
      </c>
      <c r="M39" s="67"/>
    </row>
    <row r="40" spans="1:13" x14ac:dyDescent="0.25">
      <c r="A40" s="42" t="s">
        <v>945</v>
      </c>
      <c r="B40" s="27" t="s">
        <v>916</v>
      </c>
      <c r="C40" s="28" t="s">
        <v>917</v>
      </c>
      <c r="D40" s="28" t="s">
        <v>917</v>
      </c>
      <c r="E40" s="373" t="s">
        <v>39</v>
      </c>
      <c r="F40" s="374"/>
      <c r="G40" s="88">
        <f>+ROUND(Návrh!H37,-3)/$X$2</f>
        <v>-20976</v>
      </c>
      <c r="H40" s="88">
        <f>+ROUND(Návrh!I37,-3)/$X$2</f>
        <v>-23233</v>
      </c>
      <c r="I40" s="88">
        <f>+ROUND(Návrh!J37,-3)/$X$2</f>
        <v>-23445</v>
      </c>
      <c r="J40" s="88" t="e">
        <f>+ROUND(Návrh!#REF!,-3)/$X$2</f>
        <v>#REF!</v>
      </c>
      <c r="K40" s="88">
        <f>+ROUND(Návrh!K37,-3)/$X$2</f>
        <v>-19831</v>
      </c>
      <c r="L40" s="88">
        <f>+ROUND(Návrh!L37,-3)/$X$2</f>
        <v>-19969</v>
      </c>
      <c r="M40" s="67"/>
    </row>
    <row r="41" spans="1:13" x14ac:dyDescent="0.25">
      <c r="A41" s="42" t="s">
        <v>946</v>
      </c>
      <c r="B41" s="27" t="s">
        <v>916</v>
      </c>
      <c r="C41" s="28" t="s">
        <v>917</v>
      </c>
      <c r="D41" s="28" t="s">
        <v>917</v>
      </c>
      <c r="E41" s="373" t="s">
        <v>40</v>
      </c>
      <c r="F41" s="374"/>
      <c r="G41" s="88">
        <f>+ROUND(Návrh!H38,-3)/$X$2</f>
        <v>-13331</v>
      </c>
      <c r="H41" s="88">
        <f>+ROUND(Návrh!I38,-3)/$X$2</f>
        <v>-12499</v>
      </c>
      <c r="I41" s="88">
        <f>+ROUND(Návrh!J38,-3)/$X$2</f>
        <v>-12205</v>
      </c>
      <c r="J41" s="88" t="e">
        <f>+ROUND(Návrh!#REF!,-3)/$X$2</f>
        <v>#REF!</v>
      </c>
      <c r="K41" s="88">
        <f>+ROUND(Návrh!K38,-3)/$X$2</f>
        <v>-10201</v>
      </c>
      <c r="L41" s="88">
        <f>+ROUND(Návrh!L38,-3)/$X$2</f>
        <v>-10522</v>
      </c>
      <c r="M41" s="67"/>
    </row>
    <row r="42" spans="1:13" x14ac:dyDescent="0.25">
      <c r="A42" s="42" t="s">
        <v>947</v>
      </c>
      <c r="B42" s="27" t="s">
        <v>916</v>
      </c>
      <c r="C42" s="28" t="s">
        <v>917</v>
      </c>
      <c r="D42" s="28" t="s">
        <v>917</v>
      </c>
      <c r="E42" s="373" t="s">
        <v>41</v>
      </c>
      <c r="F42" s="374"/>
      <c r="G42" s="88">
        <f>+ROUND(Návrh!H39,-3)/$X$2</f>
        <v>-202</v>
      </c>
      <c r="H42" s="88">
        <f>+ROUND(Návrh!I39,-3)/$X$2</f>
        <v>-246</v>
      </c>
      <c r="I42" s="88">
        <f>+ROUND(Návrh!J39,-3)/$X$2</f>
        <v>-360</v>
      </c>
      <c r="J42" s="88" t="e">
        <f>+ROUND(Návrh!#REF!,-3)/$X$2</f>
        <v>#REF!</v>
      </c>
      <c r="K42" s="88">
        <f>+ROUND(Návrh!K39,-3)/$X$2</f>
        <v>-247</v>
      </c>
      <c r="L42" s="88">
        <f>+ROUND(Návrh!L39,-3)/$X$2</f>
        <v>-300</v>
      </c>
      <c r="M42" s="67"/>
    </row>
    <row r="43" spans="1:13" x14ac:dyDescent="0.25">
      <c r="A43" s="42" t="s">
        <v>948</v>
      </c>
      <c r="B43" s="27" t="s">
        <v>916</v>
      </c>
      <c r="C43" s="28" t="s">
        <v>917</v>
      </c>
      <c r="D43" s="28" t="s">
        <v>917</v>
      </c>
      <c r="E43" s="373" t="s">
        <v>42</v>
      </c>
      <c r="F43" s="374"/>
      <c r="G43" s="88">
        <f>+ROUND(Návrh!H40,-3)/$X$2</f>
        <v>-881038</v>
      </c>
      <c r="H43" s="88">
        <f>+ROUND(Návrh!I40,-3)/$X$2</f>
        <v>-1045394</v>
      </c>
      <c r="I43" s="88">
        <f>+ROUND(Návrh!J40,-3)/$X$2</f>
        <v>-1100000</v>
      </c>
      <c r="J43" s="88" t="e">
        <f>+ROUND(Návrh!#REF!,-3)/$X$2</f>
        <v>#REF!</v>
      </c>
      <c r="K43" s="88">
        <f>+ROUND(Návrh!K40,-3)/$X$2</f>
        <v>-1219423</v>
      </c>
      <c r="L43" s="88">
        <f>+ROUND(Návrh!L40,-3)/$X$2</f>
        <v>-1340000</v>
      </c>
      <c r="M43" s="67"/>
    </row>
    <row r="44" spans="1:13" x14ac:dyDescent="0.25">
      <c r="A44" s="42" t="s">
        <v>949</v>
      </c>
      <c r="B44" s="27" t="s">
        <v>916</v>
      </c>
      <c r="C44" s="28" t="s">
        <v>917</v>
      </c>
      <c r="D44" s="28" t="s">
        <v>917</v>
      </c>
      <c r="E44" s="373" t="s">
        <v>43</v>
      </c>
      <c r="F44" s="374"/>
      <c r="G44" s="88">
        <f>+ROUND(Návrh!H41,-3)/$X$2</f>
        <v>-94027</v>
      </c>
      <c r="H44" s="88">
        <f>+ROUND(Návrh!I41,-3)/$X$2</f>
        <v>-75085</v>
      </c>
      <c r="I44" s="88">
        <f>+ROUND(Návrh!J41,-3)/$X$2</f>
        <v>-75000</v>
      </c>
      <c r="J44" s="88" t="e">
        <f>+ROUND(Návrh!#REF!,-3)/$X$2</f>
        <v>#REF!</v>
      </c>
      <c r="K44" s="88">
        <f>+ROUND(Návrh!K41,-3)/$X$2</f>
        <v>-58067</v>
      </c>
      <c r="L44" s="88">
        <f>+ROUND(Návrh!L41,-3)/$X$2</f>
        <v>-114015</v>
      </c>
      <c r="M44" s="67"/>
    </row>
    <row r="45" spans="1:13" x14ac:dyDescent="0.25">
      <c r="A45" s="42" t="s">
        <v>950</v>
      </c>
      <c r="B45" s="28" t="s">
        <v>916</v>
      </c>
      <c r="C45" s="28" t="s">
        <v>917</v>
      </c>
      <c r="D45" s="28" t="s">
        <v>917</v>
      </c>
      <c r="E45" s="373" t="s">
        <v>44</v>
      </c>
      <c r="F45" s="374"/>
      <c r="G45" s="88">
        <f>+ROUND(Návrh!H42,-3)/$X$2</f>
        <v>-5771</v>
      </c>
      <c r="H45" s="88">
        <f>+ROUND(Návrh!I42,-3)/$X$2</f>
        <v>-5289</v>
      </c>
      <c r="I45" s="88">
        <f>+ROUND(Návrh!J42,-3)/$X$2</f>
        <v>-5977</v>
      </c>
      <c r="J45" s="88" t="e">
        <f>+ROUND(Návrh!#REF!,-3)/$X$2</f>
        <v>#REF!</v>
      </c>
      <c r="K45" s="88">
        <f>+ROUND(Návrh!K42,-3)/$X$2</f>
        <v>-5792</v>
      </c>
      <c r="L45" s="88">
        <f>+ROUND(Návrh!L42,-3)/$X$2</f>
        <v>-5972</v>
      </c>
      <c r="M45" s="67"/>
    </row>
    <row r="46" spans="1:13" x14ac:dyDescent="0.25">
      <c r="A46" s="42" t="s">
        <v>951</v>
      </c>
      <c r="B46" s="20" t="s">
        <v>922</v>
      </c>
      <c r="C46" s="20" t="s">
        <v>923</v>
      </c>
      <c r="D46" s="20" t="s">
        <v>922</v>
      </c>
      <c r="E46" s="373" t="s">
        <v>45</v>
      </c>
      <c r="F46" s="374"/>
      <c r="G46" s="88">
        <f>+ROUND(Návrh!H43,-3)/$X$2</f>
        <v>83582</v>
      </c>
      <c r="H46" s="88">
        <f>+ROUND(Návrh!I43,-3)/$X$2</f>
        <v>0</v>
      </c>
      <c r="I46" s="88">
        <f>+ROUND(Návrh!J43,-3)/$X$2</f>
        <v>0</v>
      </c>
      <c r="J46" s="88" t="e">
        <f>+ROUND(Návrh!#REF!,-3)/$X$2</f>
        <v>#REF!</v>
      </c>
      <c r="K46" s="88">
        <f>+ROUND(Návrh!K43,-3)/$X$2</f>
        <v>0</v>
      </c>
      <c r="L46" s="88">
        <f>+ROUND(Návrh!L43,-3)/$X$2</f>
        <v>0</v>
      </c>
      <c r="M46" s="67"/>
    </row>
    <row r="47" spans="1:13" x14ac:dyDescent="0.25">
      <c r="A47" s="26" t="s">
        <v>952</v>
      </c>
      <c r="B47" s="24"/>
      <c r="C47" s="23"/>
      <c r="D47" s="23"/>
      <c r="E47" s="379" t="s">
        <v>46</v>
      </c>
      <c r="F47" s="380"/>
      <c r="G47" s="92">
        <f>+ROUND(Návrh!H44,-3)/$X$2</f>
        <v>-67719</v>
      </c>
      <c r="H47" s="92">
        <f>+ROUND(Návrh!I44,-3)/$X$2</f>
        <v>-65482</v>
      </c>
      <c r="I47" s="92">
        <f>+ROUND(Návrh!J44,-3)/$X$2</f>
        <v>-68700</v>
      </c>
      <c r="J47" s="92" t="e">
        <f>+ROUND(Návrh!#REF!,-3)/$X$2</f>
        <v>#REF!</v>
      </c>
      <c r="K47" s="92">
        <f>+ROUND(Návrh!K44,-3)/$X$2</f>
        <v>-68418</v>
      </c>
      <c r="L47" s="92">
        <f>+ROUND(Návrh!L44,-3)/$X$2</f>
        <v>-72131</v>
      </c>
      <c r="M47" s="67"/>
    </row>
    <row r="48" spans="1:13" x14ac:dyDescent="0.25">
      <c r="A48" s="42" t="s">
        <v>953</v>
      </c>
      <c r="B48" s="20" t="s">
        <v>922</v>
      </c>
      <c r="C48" s="20" t="s">
        <v>919</v>
      </c>
      <c r="D48" s="20" t="s">
        <v>924</v>
      </c>
      <c r="E48" s="373" t="s">
        <v>47</v>
      </c>
      <c r="F48" s="374"/>
      <c r="G48" s="88">
        <f>+ROUND(Návrh!H45,-3)/$X$2</f>
        <v>-63240</v>
      </c>
      <c r="H48" s="88">
        <f>+ROUND(Návrh!I45,-3)/$X$2</f>
        <v>-61658</v>
      </c>
      <c r="I48" s="88">
        <f>+ROUND(Návrh!J45,-3)/$X$2</f>
        <v>-64700</v>
      </c>
      <c r="J48" s="88" t="e">
        <f>+ROUND(Návrh!#REF!,-3)/$X$2</f>
        <v>#REF!</v>
      </c>
      <c r="K48" s="88">
        <f>+ROUND(Návrh!K45,-3)/$X$2</f>
        <v>-64255</v>
      </c>
      <c r="L48" s="88">
        <f>+ROUND(Návrh!L45,-3)/$X$2</f>
        <v>-67665</v>
      </c>
      <c r="M48" s="67"/>
    </row>
    <row r="49" spans="1:13" x14ac:dyDescent="0.25">
      <c r="A49" s="42" t="s">
        <v>954</v>
      </c>
      <c r="B49" s="20" t="s">
        <v>922</v>
      </c>
      <c r="C49" s="20" t="s">
        <v>919</v>
      </c>
      <c r="D49" s="20" t="s">
        <v>924</v>
      </c>
      <c r="E49" s="373" t="s">
        <v>48</v>
      </c>
      <c r="F49" s="374"/>
      <c r="G49" s="88">
        <f>+ROUND(Návrh!H46,-3)/$X$2</f>
        <v>-4479</v>
      </c>
      <c r="H49" s="88">
        <f>+ROUND(Návrh!I46,-3)/$X$2</f>
        <v>-3823</v>
      </c>
      <c r="I49" s="88">
        <f>+ROUND(Návrh!J46,-3)/$X$2</f>
        <v>-4000</v>
      </c>
      <c r="J49" s="88" t="e">
        <f>+ROUND(Návrh!#REF!,-3)/$X$2</f>
        <v>#REF!</v>
      </c>
      <c r="K49" s="88">
        <f>+ROUND(Návrh!K46,-3)/$X$2</f>
        <v>-4163</v>
      </c>
      <c r="L49" s="88">
        <f>+ROUND(Návrh!L46,-3)/$X$2</f>
        <v>-4466</v>
      </c>
      <c r="M49" s="67"/>
    </row>
    <row r="50" spans="1:13" x14ac:dyDescent="0.25">
      <c r="A50" s="26" t="s">
        <v>955</v>
      </c>
      <c r="B50" s="26"/>
      <c r="C50" s="23"/>
      <c r="D50" s="23"/>
      <c r="E50" s="379" t="s">
        <v>49</v>
      </c>
      <c r="F50" s="380"/>
      <c r="G50" s="92">
        <f>+ROUND(Návrh!H47,-3)/$X$2</f>
        <v>-805100</v>
      </c>
      <c r="H50" s="92">
        <f>+ROUND(Návrh!I47,-3)/$X$2</f>
        <v>-926475</v>
      </c>
      <c r="I50" s="92">
        <f>+ROUND(Návrh!J47,-3)/$X$2</f>
        <v>-965611</v>
      </c>
      <c r="J50" s="92" t="e">
        <f>+ROUND(Návrh!#REF!,-3)/$X$2</f>
        <v>#REF!</v>
      </c>
      <c r="K50" s="92">
        <f>+ROUND(Návrh!K47,-3)/$X$2</f>
        <v>-985907</v>
      </c>
      <c r="L50" s="92">
        <f>+ROUND(Návrh!L47,-3)/$X$2</f>
        <v>-1036380</v>
      </c>
      <c r="M50" s="67"/>
    </row>
    <row r="51" spans="1:13" x14ac:dyDescent="0.25">
      <c r="A51" s="42" t="s">
        <v>956</v>
      </c>
      <c r="B51" s="27" t="s">
        <v>916</v>
      </c>
      <c r="C51" s="28" t="s">
        <v>917</v>
      </c>
      <c r="D51" s="28" t="s">
        <v>917</v>
      </c>
      <c r="E51" s="373" t="s">
        <v>50</v>
      </c>
      <c r="F51" s="374"/>
      <c r="G51" s="88">
        <f>+ROUND(Návrh!H48,-3)/$X$2</f>
        <v>-22721</v>
      </c>
      <c r="H51" s="88">
        <f>+ROUND(Návrh!I48,-3)/$X$2</f>
        <v>-24668</v>
      </c>
      <c r="I51" s="88">
        <f>+ROUND(Návrh!J48,-3)/$X$2</f>
        <v>-27550</v>
      </c>
      <c r="J51" s="88" t="e">
        <f>+ROUND(Návrh!#REF!,-3)/$X$2</f>
        <v>#REF!</v>
      </c>
      <c r="K51" s="88">
        <f>+ROUND(Návrh!K48,-3)/$X$2</f>
        <v>-25808</v>
      </c>
      <c r="L51" s="88">
        <f>+ROUND(Návrh!L48,-3)/$X$2</f>
        <v>-25126</v>
      </c>
      <c r="M51" s="67"/>
    </row>
    <row r="52" spans="1:13" x14ac:dyDescent="0.25">
      <c r="A52" s="42" t="s">
        <v>957</v>
      </c>
      <c r="B52" s="27" t="s">
        <v>916</v>
      </c>
      <c r="C52" s="28" t="s">
        <v>917</v>
      </c>
      <c r="D52" s="28" t="s">
        <v>917</v>
      </c>
      <c r="E52" s="373" t="s">
        <v>51</v>
      </c>
      <c r="F52" s="374"/>
      <c r="G52" s="88">
        <f>+ROUND(Návrh!H49,-3)/$X$2</f>
        <v>-137727</v>
      </c>
      <c r="H52" s="88">
        <f>+ROUND(Návrh!I49,-3)/$X$2</f>
        <v>-135329</v>
      </c>
      <c r="I52" s="88">
        <f>+ROUND(Návrh!J49,-3)/$X$2</f>
        <v>-136060</v>
      </c>
      <c r="J52" s="88" t="e">
        <f>+ROUND(Návrh!#REF!,-3)/$X$2</f>
        <v>#REF!</v>
      </c>
      <c r="K52" s="88">
        <f>+ROUND(Návrh!K49,-3)/$X$2</f>
        <v>-145390</v>
      </c>
      <c r="L52" s="88">
        <f>+ROUND(Návrh!L49,-3)/$X$2</f>
        <v>-137500</v>
      </c>
      <c r="M52" s="67"/>
    </row>
    <row r="53" spans="1:13" x14ac:dyDescent="0.25">
      <c r="A53" s="42" t="s">
        <v>958</v>
      </c>
      <c r="B53" s="27" t="s">
        <v>916</v>
      </c>
      <c r="C53" s="28" t="s">
        <v>917</v>
      </c>
      <c r="D53" s="28" t="s">
        <v>917</v>
      </c>
      <c r="E53" s="373" t="s">
        <v>52</v>
      </c>
      <c r="F53" s="374"/>
      <c r="G53" s="88">
        <f>+ROUND(Návrh!H50,-3)/$X$2</f>
        <v>-30159</v>
      </c>
      <c r="H53" s="88">
        <f>+ROUND(Návrh!I50,-3)/$X$2</f>
        <v>-30680</v>
      </c>
      <c r="I53" s="88">
        <f>+ROUND(Návrh!J50,-3)/$X$2</f>
        <v>-30530</v>
      </c>
      <c r="J53" s="88" t="e">
        <f>+ROUND(Návrh!#REF!,-3)/$X$2</f>
        <v>#REF!</v>
      </c>
      <c r="K53" s="88">
        <f>+ROUND(Návrh!K50,-3)/$X$2</f>
        <v>-25481</v>
      </c>
      <c r="L53" s="88">
        <f>+ROUND(Návrh!L50,-3)/$X$2</f>
        <v>-25850</v>
      </c>
      <c r="M53" s="67"/>
    </row>
    <row r="54" spans="1:13" x14ac:dyDescent="0.25">
      <c r="A54" s="42" t="s">
        <v>959</v>
      </c>
      <c r="B54" s="27" t="s">
        <v>916</v>
      </c>
      <c r="C54" s="28" t="s">
        <v>917</v>
      </c>
      <c r="D54" s="28" t="s">
        <v>917</v>
      </c>
      <c r="E54" s="373" t="s">
        <v>53</v>
      </c>
      <c r="F54" s="374"/>
      <c r="G54" s="88">
        <f>+ROUND(Návrh!H51,-3)/$X$2</f>
        <v>-34088</v>
      </c>
      <c r="H54" s="88">
        <f>+ROUND(Návrh!I51,-3)/$X$2</f>
        <v>-38417</v>
      </c>
      <c r="I54" s="88">
        <f>+ROUND(Návrh!J51,-3)/$X$2</f>
        <v>-38800</v>
      </c>
      <c r="J54" s="88" t="e">
        <f>+ROUND(Návrh!#REF!,-3)/$X$2</f>
        <v>#REF!</v>
      </c>
      <c r="K54" s="88">
        <f>+ROUND(Návrh!K51,-3)/$X$2</f>
        <v>-41616</v>
      </c>
      <c r="L54" s="88">
        <f>+ROUND(Návrh!L51,-3)/$X$2</f>
        <v>-40631</v>
      </c>
      <c r="M54" s="67"/>
    </row>
    <row r="55" spans="1:13" x14ac:dyDescent="0.25">
      <c r="A55" s="42" t="s">
        <v>960</v>
      </c>
      <c r="B55" s="27" t="s">
        <v>916</v>
      </c>
      <c r="C55" s="28" t="s">
        <v>917</v>
      </c>
      <c r="D55" s="28" t="s">
        <v>917</v>
      </c>
      <c r="E55" s="373" t="s">
        <v>54</v>
      </c>
      <c r="F55" s="374"/>
      <c r="G55" s="88">
        <f>+ROUND(Návrh!H52,-3)/$X$2</f>
        <v>-7804</v>
      </c>
      <c r="H55" s="88">
        <f>+ROUND(Návrh!I52,-3)/$X$2</f>
        <v>-7877</v>
      </c>
      <c r="I55" s="88">
        <f>+ROUND(Návrh!J52,-3)/$X$2</f>
        <v>-8000</v>
      </c>
      <c r="J55" s="88" t="e">
        <f>+ROUND(Návrh!#REF!,-3)/$X$2</f>
        <v>#REF!</v>
      </c>
      <c r="K55" s="88">
        <f>+ROUND(Návrh!K52,-3)/$X$2</f>
        <v>-7444</v>
      </c>
      <c r="L55" s="88">
        <f>+ROUND(Návrh!L52,-3)/$X$2</f>
        <v>-8000</v>
      </c>
      <c r="M55" s="67"/>
    </row>
    <row r="56" spans="1:13" x14ac:dyDescent="0.25">
      <c r="A56" s="42" t="s">
        <v>961</v>
      </c>
      <c r="B56" s="27" t="s">
        <v>916</v>
      </c>
      <c r="C56" s="28" t="s">
        <v>917</v>
      </c>
      <c r="D56" s="28" t="s">
        <v>917</v>
      </c>
      <c r="E56" s="373" t="s">
        <v>55</v>
      </c>
      <c r="F56" s="374"/>
      <c r="G56" s="88">
        <f>+ROUND(Návrh!H53,-3)/$X$2</f>
        <v>-22824</v>
      </c>
      <c r="H56" s="88">
        <f>+ROUND(Návrh!I53,-3)/$X$2</f>
        <v>-23070</v>
      </c>
      <c r="I56" s="88">
        <f>+ROUND(Návrh!J53,-3)/$X$2</f>
        <v>-28000</v>
      </c>
      <c r="J56" s="88" t="e">
        <f>+ROUND(Návrh!#REF!,-3)/$X$2</f>
        <v>#REF!</v>
      </c>
      <c r="K56" s="88">
        <f>+ROUND(Návrh!K53,-3)/$X$2</f>
        <v>-24805</v>
      </c>
      <c r="L56" s="88">
        <f>+ROUND(Návrh!L53,-3)/$X$2</f>
        <v>-25000</v>
      </c>
      <c r="M56" s="67"/>
    </row>
    <row r="57" spans="1:13" x14ac:dyDescent="0.25">
      <c r="A57" s="45" t="s">
        <v>962</v>
      </c>
      <c r="B57" s="27" t="s">
        <v>916</v>
      </c>
      <c r="C57" s="28" t="s">
        <v>917</v>
      </c>
      <c r="D57" s="28" t="s">
        <v>917</v>
      </c>
      <c r="E57" s="373" t="s">
        <v>56</v>
      </c>
      <c r="F57" s="374"/>
      <c r="G57" s="88">
        <f>+ROUND(Návrh!H54,-3)/$X$2</f>
        <v>-1201</v>
      </c>
      <c r="H57" s="88">
        <f>+ROUND(Návrh!I54,-3)/$X$2</f>
        <v>-659</v>
      </c>
      <c r="I57" s="88">
        <f>+ROUND(Návrh!J54,-3)/$X$2</f>
        <v>-880</v>
      </c>
      <c r="J57" s="88" t="e">
        <f>+ROUND(Návrh!#REF!,-3)/$X$2</f>
        <v>#REF!</v>
      </c>
      <c r="K57" s="88">
        <f>+ROUND(Návrh!K54,-3)/$X$2</f>
        <v>-776</v>
      </c>
      <c r="L57" s="88">
        <f>+ROUND(Návrh!L54,-3)/$X$2</f>
        <v>-800</v>
      </c>
      <c r="M57" s="67"/>
    </row>
    <row r="58" spans="1:13" x14ac:dyDescent="0.25">
      <c r="A58" s="42" t="s">
        <v>963</v>
      </c>
      <c r="B58" s="27" t="s">
        <v>916</v>
      </c>
      <c r="C58" s="28" t="s">
        <v>917</v>
      </c>
      <c r="D58" s="28" t="s">
        <v>917</v>
      </c>
      <c r="E58" s="373" t="s">
        <v>57</v>
      </c>
      <c r="F58" s="374"/>
      <c r="G58" s="88">
        <f>+ROUND(Návrh!H55,-3)/$X$2</f>
        <v>0</v>
      </c>
      <c r="H58" s="88">
        <f>+ROUND(Návrh!I55,-3)/$X$2</f>
        <v>-88</v>
      </c>
      <c r="I58" s="88">
        <f>+ROUND(Návrh!J55,-3)/$X$2</f>
        <v>-100</v>
      </c>
      <c r="J58" s="88" t="e">
        <f>+ROUND(Návrh!#REF!,-3)/$X$2</f>
        <v>#REF!</v>
      </c>
      <c r="K58" s="88">
        <f>+ROUND(Návrh!K55,-3)/$X$2</f>
        <v>-99</v>
      </c>
      <c r="L58" s="88">
        <f>+ROUND(Návrh!L55,-3)/$X$2</f>
        <v>-100</v>
      </c>
      <c r="M58" s="67"/>
    </row>
    <row r="59" spans="1:13" x14ac:dyDescent="0.25">
      <c r="A59" s="42" t="s">
        <v>964</v>
      </c>
      <c r="B59" s="27" t="s">
        <v>916</v>
      </c>
      <c r="C59" s="28" t="s">
        <v>917</v>
      </c>
      <c r="D59" s="28" t="s">
        <v>917</v>
      </c>
      <c r="E59" s="373" t="s">
        <v>58</v>
      </c>
      <c r="F59" s="374"/>
      <c r="G59" s="88">
        <f>+ROUND(Návrh!H56,-3)/$X$2</f>
        <v>-25390</v>
      </c>
      <c r="H59" s="88">
        <f>+ROUND(Návrh!I56,-3)/$X$2</f>
        <v>-25115</v>
      </c>
      <c r="I59" s="88">
        <f>+ROUND(Návrh!J56,-3)/$X$2</f>
        <v>-26200</v>
      </c>
      <c r="J59" s="88" t="e">
        <f>+ROUND(Návrh!#REF!,-3)/$X$2</f>
        <v>#REF!</v>
      </c>
      <c r="K59" s="88">
        <f>+ROUND(Návrh!K56,-3)/$X$2</f>
        <v>-35709</v>
      </c>
      <c r="L59" s="88">
        <f>+ROUND(Návrh!L56,-3)/$X$2</f>
        <v>-38667</v>
      </c>
      <c r="M59" s="67"/>
    </row>
    <row r="60" spans="1:13" x14ac:dyDescent="0.25">
      <c r="A60" s="42" t="s">
        <v>965</v>
      </c>
      <c r="B60" s="27" t="s">
        <v>916</v>
      </c>
      <c r="C60" s="28" t="s">
        <v>917</v>
      </c>
      <c r="D60" s="28" t="s">
        <v>917</v>
      </c>
      <c r="E60" s="373" t="s">
        <v>59</v>
      </c>
      <c r="F60" s="374"/>
      <c r="G60" s="88">
        <f>+ROUND(Návrh!H57,-3)/$X$2</f>
        <v>-24275</v>
      </c>
      <c r="H60" s="88">
        <f>+ROUND(Návrh!I57,-3)/$X$2</f>
        <v>-26387</v>
      </c>
      <c r="I60" s="88">
        <f>+ROUND(Návrh!J57,-3)/$X$2</f>
        <v>-25585</v>
      </c>
      <c r="J60" s="88" t="e">
        <f>+ROUND(Návrh!#REF!,-3)/$X$2</f>
        <v>#REF!</v>
      </c>
      <c r="K60" s="88">
        <f>+ROUND(Návrh!K57,-3)/$X$2</f>
        <v>-28776</v>
      </c>
      <c r="L60" s="88">
        <f>+ROUND(Návrh!L57,-3)/$X$2</f>
        <v>-24954</v>
      </c>
      <c r="M60" s="67"/>
    </row>
    <row r="61" spans="1:13" x14ac:dyDescent="0.25">
      <c r="A61" s="42" t="s">
        <v>966</v>
      </c>
      <c r="B61" s="27" t="s">
        <v>916</v>
      </c>
      <c r="C61" s="28" t="s">
        <v>917</v>
      </c>
      <c r="D61" s="28" t="s">
        <v>917</v>
      </c>
      <c r="E61" s="373" t="s">
        <v>60</v>
      </c>
      <c r="F61" s="374"/>
      <c r="G61" s="88">
        <f>+ROUND(Návrh!H58,-3)/$X$2</f>
        <v>-4100</v>
      </c>
      <c r="H61" s="88">
        <f>+ROUND(Návrh!I58,-3)/$X$2</f>
        <v>-2139</v>
      </c>
      <c r="I61" s="88">
        <f>+ROUND(Návrh!J58,-3)/$X$2</f>
        <v>0</v>
      </c>
      <c r="J61" s="88" t="e">
        <f>+ROUND(Návrh!#REF!,-3)/$X$2</f>
        <v>#REF!</v>
      </c>
      <c r="K61" s="88">
        <f>+ROUND(Návrh!K58,-3)/$X$2</f>
        <v>-1783</v>
      </c>
      <c r="L61" s="88">
        <f>+ROUND(Návrh!L58,-3)/$X$2</f>
        <v>-2200</v>
      </c>
      <c r="M61" s="67"/>
    </row>
    <row r="62" spans="1:13" x14ac:dyDescent="0.25">
      <c r="A62" s="42" t="s">
        <v>967</v>
      </c>
      <c r="B62" s="27" t="s">
        <v>916</v>
      </c>
      <c r="C62" s="28" t="s">
        <v>917</v>
      </c>
      <c r="D62" s="28" t="s">
        <v>917</v>
      </c>
      <c r="E62" s="373" t="s">
        <v>61</v>
      </c>
      <c r="F62" s="374"/>
      <c r="G62" s="88">
        <f>+ROUND(Návrh!H59,-3)/$X$2</f>
        <v>-600</v>
      </c>
      <c r="H62" s="88">
        <f>+ROUND(Návrh!I59,-3)/$X$2</f>
        <v>-4199</v>
      </c>
      <c r="I62" s="88">
        <f>+ROUND(Návrh!J59,-3)/$X$2</f>
        <v>-15000</v>
      </c>
      <c r="J62" s="88" t="e">
        <f>+ROUND(Návrh!#REF!,-3)/$X$2</f>
        <v>#REF!</v>
      </c>
      <c r="K62" s="88">
        <f>+ROUND(Návrh!K59,-3)/$X$2</f>
        <v>-7705</v>
      </c>
      <c r="L62" s="88">
        <f>+ROUND(Návrh!L59,-3)/$X$2</f>
        <v>-15000</v>
      </c>
      <c r="M62" s="67"/>
    </row>
    <row r="63" spans="1:13" x14ac:dyDescent="0.25">
      <c r="A63" s="42" t="s">
        <v>968</v>
      </c>
      <c r="B63" s="27" t="s">
        <v>916</v>
      </c>
      <c r="C63" s="28" t="s">
        <v>917</v>
      </c>
      <c r="D63" s="28" t="s">
        <v>917</v>
      </c>
      <c r="E63" s="373" t="s">
        <v>62</v>
      </c>
      <c r="F63" s="374"/>
      <c r="G63" s="88">
        <f>+ROUND(Návrh!H60,-3)/$X$2</f>
        <v>0</v>
      </c>
      <c r="H63" s="88">
        <f>+ROUND(Návrh!I60,-3)/$X$2</f>
        <v>-720</v>
      </c>
      <c r="I63" s="88">
        <f>+ROUND(Návrh!J60,-3)/$X$2</f>
        <v>0</v>
      </c>
      <c r="J63" s="88" t="e">
        <f>+ROUND(Návrh!#REF!,-3)/$X$2</f>
        <v>#REF!</v>
      </c>
      <c r="K63" s="88">
        <f>+ROUND(Návrh!K60,-3)/$X$2</f>
        <v>-2160</v>
      </c>
      <c r="L63" s="88">
        <f>+ROUND(Návrh!L60,-3)/$X$2</f>
        <v>-2160</v>
      </c>
      <c r="M63" s="67"/>
    </row>
    <row r="64" spans="1:13" x14ac:dyDescent="0.25">
      <c r="A64" s="42" t="s">
        <v>969</v>
      </c>
      <c r="B64" s="27" t="s">
        <v>916</v>
      </c>
      <c r="C64" s="28" t="s">
        <v>917</v>
      </c>
      <c r="D64" s="28" t="s">
        <v>917</v>
      </c>
      <c r="E64" s="373" t="s">
        <v>63</v>
      </c>
      <c r="F64" s="374"/>
      <c r="G64" s="88">
        <f>+ROUND(Návrh!H61,-3)/$X$2</f>
        <v>-184117</v>
      </c>
      <c r="H64" s="88">
        <f>+ROUND(Návrh!I61,-3)/$X$2</f>
        <v>-187234</v>
      </c>
      <c r="I64" s="88">
        <f>+ROUND(Návrh!J61,-3)/$X$2</f>
        <v>-186119</v>
      </c>
      <c r="J64" s="88" t="e">
        <f>+ROUND(Návrh!#REF!,-3)/$X$2</f>
        <v>#REF!</v>
      </c>
      <c r="K64" s="88">
        <f>+ROUND(Návrh!K61,-3)/$X$2</f>
        <v>-191444</v>
      </c>
      <c r="L64" s="88">
        <f>+ROUND(Návrh!L61,-3)/$X$2</f>
        <v>-194610</v>
      </c>
      <c r="M64" s="67"/>
    </row>
    <row r="65" spans="1:13" x14ac:dyDescent="0.25">
      <c r="A65" s="42" t="s">
        <v>970</v>
      </c>
      <c r="B65" s="27" t="s">
        <v>916</v>
      </c>
      <c r="C65" s="28" t="s">
        <v>917</v>
      </c>
      <c r="D65" s="28" t="s">
        <v>917</v>
      </c>
      <c r="E65" s="373" t="s">
        <v>64</v>
      </c>
      <c r="F65" s="374"/>
      <c r="G65" s="88">
        <f>+ROUND(Návrh!H62,-3)/$X$2</f>
        <v>-1289</v>
      </c>
      <c r="H65" s="88">
        <f>+ROUND(Návrh!I62,-3)/$X$2</f>
        <v>-1324</v>
      </c>
      <c r="I65" s="88">
        <f>+ROUND(Návrh!J62,-3)/$X$2</f>
        <v>-1186</v>
      </c>
      <c r="J65" s="88" t="e">
        <f>+ROUND(Návrh!#REF!,-3)/$X$2</f>
        <v>#REF!</v>
      </c>
      <c r="K65" s="88">
        <f>+ROUND(Návrh!K62,-3)/$X$2</f>
        <v>-1111</v>
      </c>
      <c r="L65" s="88">
        <f>+ROUND(Návrh!L62,-3)/$X$2</f>
        <v>-1120</v>
      </c>
      <c r="M65" s="67"/>
    </row>
    <row r="66" spans="1:13" x14ac:dyDescent="0.25">
      <c r="A66" s="42" t="s">
        <v>971</v>
      </c>
      <c r="B66" s="27" t="s">
        <v>916</v>
      </c>
      <c r="C66" s="28" t="s">
        <v>917</v>
      </c>
      <c r="D66" s="28" t="s">
        <v>917</v>
      </c>
      <c r="E66" s="373" t="s">
        <v>65</v>
      </c>
      <c r="F66" s="374"/>
      <c r="G66" s="88">
        <f>+ROUND(Návrh!H63,-3)/$X$2</f>
        <v>-6378</v>
      </c>
      <c r="H66" s="88">
        <f>+ROUND(Návrh!I63,-3)/$X$2</f>
        <v>-6444</v>
      </c>
      <c r="I66" s="88">
        <f>+ROUND(Návrh!J63,-3)/$X$2</f>
        <v>-5600</v>
      </c>
      <c r="J66" s="88" t="e">
        <f>+ROUND(Návrh!#REF!,-3)/$X$2</f>
        <v>#REF!</v>
      </c>
      <c r="K66" s="88">
        <f>+ROUND(Návrh!K63,-3)/$X$2</f>
        <v>-6529</v>
      </c>
      <c r="L66" s="88">
        <f>+ROUND(Návrh!L63,-3)/$X$2</f>
        <v>-5992</v>
      </c>
      <c r="M66" s="67"/>
    </row>
    <row r="67" spans="1:13" x14ac:dyDescent="0.25">
      <c r="A67" s="42" t="s">
        <v>972</v>
      </c>
      <c r="B67" s="27" t="s">
        <v>916</v>
      </c>
      <c r="C67" s="28" t="s">
        <v>917</v>
      </c>
      <c r="D67" s="28" t="s">
        <v>917</v>
      </c>
      <c r="E67" s="373" t="s">
        <v>66</v>
      </c>
      <c r="F67" s="374"/>
      <c r="G67" s="88">
        <f>+ROUND(Návrh!H64,-3)/$X$2</f>
        <v>-20236</v>
      </c>
      <c r="H67" s="88">
        <f>+ROUND(Návrh!I64,-3)/$X$2</f>
        <v>-21841</v>
      </c>
      <c r="I67" s="88">
        <f>+ROUND(Návrh!J64,-3)/$X$2</f>
        <v>-21223</v>
      </c>
      <c r="J67" s="88" t="e">
        <f>+ROUND(Návrh!#REF!,-3)/$X$2</f>
        <v>#REF!</v>
      </c>
      <c r="K67" s="88">
        <f>+ROUND(Návrh!K64,-3)/$X$2</f>
        <v>-22596</v>
      </c>
      <c r="L67" s="88">
        <f>+ROUND(Návrh!L64,-3)/$X$2</f>
        <v>-22772</v>
      </c>
      <c r="M67" s="67"/>
    </row>
    <row r="68" spans="1:13" x14ac:dyDescent="0.25">
      <c r="A68" s="42" t="s">
        <v>973</v>
      </c>
      <c r="B68" s="27" t="s">
        <v>916</v>
      </c>
      <c r="C68" s="28" t="s">
        <v>917</v>
      </c>
      <c r="D68" s="28" t="s">
        <v>917</v>
      </c>
      <c r="E68" s="373" t="s">
        <v>67</v>
      </c>
      <c r="F68" s="374"/>
      <c r="G68" s="88">
        <f>+ROUND(Návrh!H65,-3)/$X$2</f>
        <v>-116311</v>
      </c>
      <c r="H68" s="88">
        <f>+ROUND(Návrh!I65,-3)/$X$2</f>
        <v>-121117</v>
      </c>
      <c r="I68" s="88">
        <f>+ROUND(Návrh!J65,-3)/$X$2</f>
        <v>-143320</v>
      </c>
      <c r="J68" s="88" t="e">
        <f>+ROUND(Návrh!#REF!,-3)/$X$2</f>
        <v>#REF!</v>
      </c>
      <c r="K68" s="88">
        <f>+ROUND(Návrh!K65,-3)/$X$2</f>
        <v>-134090</v>
      </c>
      <c r="L68" s="88">
        <f>+ROUND(Návrh!L65,-3)/$X$2</f>
        <v>-173045</v>
      </c>
      <c r="M68" s="67"/>
    </row>
    <row r="69" spans="1:13" x14ac:dyDescent="0.25">
      <c r="A69" s="42" t="s">
        <v>1636</v>
      </c>
      <c r="B69" s="27" t="s">
        <v>916</v>
      </c>
      <c r="C69" s="28" t="s">
        <v>917</v>
      </c>
      <c r="D69" s="28" t="s">
        <v>917</v>
      </c>
      <c r="E69" s="373" t="s">
        <v>68</v>
      </c>
      <c r="F69" s="374"/>
      <c r="G69" s="88">
        <f>+ROUND(Návrh!H66,-3)/$X$2</f>
        <v>-19632</v>
      </c>
      <c r="H69" s="88">
        <f>+ROUND(Návrh!I66,-3)/$X$2</f>
        <v>-21188</v>
      </c>
      <c r="I69" s="88">
        <f>+ROUND(Návrh!J66,-3)/$X$2</f>
        <v>-18500</v>
      </c>
      <c r="J69" s="88" t="e">
        <f>+ROUND(Návrh!#REF!,-3)/$X$2</f>
        <v>#REF!</v>
      </c>
      <c r="K69" s="88">
        <f>+ROUND(Návrh!K66,-3)/$X$2</f>
        <v>-23794</v>
      </c>
      <c r="L69" s="88">
        <f>+ROUND(Návrh!L66,-3)/$X$2</f>
        <v>-22621</v>
      </c>
      <c r="M69" s="67"/>
    </row>
    <row r="70" spans="1:13" x14ac:dyDescent="0.25">
      <c r="A70" s="42" t="s">
        <v>974</v>
      </c>
      <c r="B70" s="27" t="s">
        <v>916</v>
      </c>
      <c r="C70" s="28" t="s">
        <v>917</v>
      </c>
      <c r="D70" s="28" t="s">
        <v>917</v>
      </c>
      <c r="E70" s="373" t="s">
        <v>69</v>
      </c>
      <c r="F70" s="374"/>
      <c r="G70" s="88">
        <f>+ROUND(Návrh!H67,-3)/$X$2</f>
        <v>-7930</v>
      </c>
      <c r="H70" s="88">
        <f>+ROUND(Návrh!I67,-3)/$X$2</f>
        <v>-8059</v>
      </c>
      <c r="I70" s="88">
        <f>+ROUND(Návrh!J67,-3)/$X$2</f>
        <v>-8050</v>
      </c>
      <c r="J70" s="88" t="e">
        <f>+ROUND(Návrh!#REF!,-3)/$X$2</f>
        <v>#REF!</v>
      </c>
      <c r="K70" s="88">
        <f>+ROUND(Návrh!K67,-3)/$X$2</f>
        <v>-8718</v>
      </c>
      <c r="L70" s="88">
        <f>+ROUND(Návrh!L67,-3)/$X$2</f>
        <v>-8767</v>
      </c>
      <c r="M70" s="67"/>
    </row>
    <row r="71" spans="1:13" x14ac:dyDescent="0.25">
      <c r="A71" s="42" t="s">
        <v>975</v>
      </c>
      <c r="B71" s="27" t="s">
        <v>916</v>
      </c>
      <c r="C71" s="28" t="s">
        <v>917</v>
      </c>
      <c r="D71" s="28" t="s">
        <v>917</v>
      </c>
      <c r="E71" s="373" t="s">
        <v>70</v>
      </c>
      <c r="F71" s="374"/>
      <c r="G71" s="88">
        <f>+ROUND(Návrh!H68,-3)/$X$2</f>
        <v>-38264</v>
      </c>
      <c r="H71" s="88">
        <f>+ROUND(Návrh!I68,-3)/$X$2</f>
        <v>-37271</v>
      </c>
      <c r="I71" s="88">
        <f>+ROUND(Návrh!J68,-3)/$X$2</f>
        <v>-40607</v>
      </c>
      <c r="J71" s="88" t="e">
        <f>+ROUND(Návrh!#REF!,-3)/$X$2</f>
        <v>#REF!</v>
      </c>
      <c r="K71" s="88">
        <f>+ROUND(Návrh!K68,-3)/$X$2</f>
        <v>-39921</v>
      </c>
      <c r="L71" s="88">
        <f>+ROUND(Návrh!L68,-3)/$X$2</f>
        <v>-48839</v>
      </c>
      <c r="M71" s="67"/>
    </row>
    <row r="72" spans="1:13" x14ac:dyDescent="0.25">
      <c r="A72" s="42" t="s">
        <v>976</v>
      </c>
      <c r="B72" s="27" t="s">
        <v>916</v>
      </c>
      <c r="C72" s="28" t="s">
        <v>917</v>
      </c>
      <c r="D72" s="28" t="s">
        <v>917</v>
      </c>
      <c r="E72" s="373" t="s">
        <v>71</v>
      </c>
      <c r="F72" s="374"/>
      <c r="G72" s="88">
        <f>+ROUND(Návrh!H69,-3)/$X$2</f>
        <v>-10991</v>
      </c>
      <c r="H72" s="88">
        <f>+ROUND(Návrh!I69,-3)/$X$2</f>
        <v>-11425</v>
      </c>
      <c r="I72" s="88">
        <f>+ROUND(Návrh!J69,-3)/$X$2</f>
        <v>-11221</v>
      </c>
      <c r="J72" s="88" t="e">
        <f>+ROUND(Návrh!#REF!,-3)/$X$2</f>
        <v>#REF!</v>
      </c>
      <c r="K72" s="88">
        <f>+ROUND(Návrh!K69,-3)/$X$2</f>
        <v>-10887</v>
      </c>
      <c r="L72" s="88">
        <f>+ROUND(Návrh!L69,-3)/$X$2</f>
        <v>-11048</v>
      </c>
      <c r="M72" s="67"/>
    </row>
    <row r="73" spans="1:13" x14ac:dyDescent="0.25">
      <c r="A73" s="42" t="s">
        <v>977</v>
      </c>
      <c r="B73" s="27" t="s">
        <v>916</v>
      </c>
      <c r="C73" s="28" t="s">
        <v>917</v>
      </c>
      <c r="D73" s="28" t="s">
        <v>917</v>
      </c>
      <c r="E73" s="373" t="s">
        <v>72</v>
      </c>
      <c r="F73" s="374"/>
      <c r="G73" s="88">
        <f>+ROUND(Návrh!H70,-3)/$X$2</f>
        <v>-5529</v>
      </c>
      <c r="H73" s="88">
        <f>+ROUND(Návrh!I70,-3)/$X$2</f>
        <v>-5774</v>
      </c>
      <c r="I73" s="88">
        <f>+ROUND(Návrh!J70,-3)/$X$2</f>
        <v>-5917</v>
      </c>
      <c r="J73" s="88" t="e">
        <f>+ROUND(Návrh!#REF!,-3)/$X$2</f>
        <v>#REF!</v>
      </c>
      <c r="K73" s="88">
        <f>+ROUND(Návrh!K70,-3)/$X$2</f>
        <v>-5713</v>
      </c>
      <c r="L73" s="88">
        <f>+ROUND(Návrh!L70,-3)/$X$2</f>
        <v>-5807</v>
      </c>
      <c r="M73" s="67"/>
    </row>
    <row r="74" spans="1:13" x14ac:dyDescent="0.25">
      <c r="A74" s="42" t="s">
        <v>978</v>
      </c>
      <c r="B74" s="27" t="s">
        <v>916</v>
      </c>
      <c r="C74" s="28" t="s">
        <v>917</v>
      </c>
      <c r="D74" s="28" t="s">
        <v>917</v>
      </c>
      <c r="E74" s="373" t="s">
        <v>73</v>
      </c>
      <c r="F74" s="374"/>
      <c r="G74" s="88">
        <f>+ROUND(Návrh!H71,-3)/$X$2</f>
        <v>-448</v>
      </c>
      <c r="H74" s="88">
        <f>+ROUND(Návrh!I71,-3)/$X$2</f>
        <v>-409</v>
      </c>
      <c r="I74" s="88">
        <f>+ROUND(Návrh!J71,-3)/$X$2</f>
        <v>-410</v>
      </c>
      <c r="J74" s="88" t="e">
        <f>+ROUND(Návrh!#REF!,-3)/$X$2</f>
        <v>#REF!</v>
      </c>
      <c r="K74" s="88">
        <f>+ROUND(Návrh!K71,-3)/$X$2</f>
        <v>-349</v>
      </c>
      <c r="L74" s="88">
        <f>+ROUND(Návrh!L71,-3)/$X$2</f>
        <v>-410</v>
      </c>
      <c r="M74" s="67"/>
    </row>
    <row r="75" spans="1:13" x14ac:dyDescent="0.25">
      <c r="A75" s="42" t="s">
        <v>979</v>
      </c>
      <c r="B75" s="27" t="s">
        <v>916</v>
      </c>
      <c r="C75" s="28" t="s">
        <v>917</v>
      </c>
      <c r="D75" s="28" t="s">
        <v>917</v>
      </c>
      <c r="E75" s="373" t="s">
        <v>74</v>
      </c>
      <c r="F75" s="374"/>
      <c r="G75" s="88">
        <f>+ROUND(Návrh!H72,-3)/$X$2</f>
        <v>-7971</v>
      </c>
      <c r="H75" s="88">
        <f>+ROUND(Návrh!I72,-3)/$X$2</f>
        <v>-7861</v>
      </c>
      <c r="I75" s="88">
        <f>+ROUND(Návrh!J72,-3)/$X$2</f>
        <v>-7805</v>
      </c>
      <c r="J75" s="88" t="e">
        <f>+ROUND(Návrh!#REF!,-3)/$X$2</f>
        <v>#REF!</v>
      </c>
      <c r="K75" s="88">
        <f>+ROUND(Návrh!K72,-3)/$X$2</f>
        <v>-7990</v>
      </c>
      <c r="L75" s="88">
        <f>+ROUND(Návrh!L72,-3)/$X$2</f>
        <v>-8048</v>
      </c>
      <c r="M75" s="67"/>
    </row>
    <row r="76" spans="1:13" x14ac:dyDescent="0.25">
      <c r="A76" s="42" t="s">
        <v>980</v>
      </c>
      <c r="B76" s="27" t="s">
        <v>916</v>
      </c>
      <c r="C76" s="28" t="s">
        <v>917</v>
      </c>
      <c r="D76" s="28" t="s">
        <v>917</v>
      </c>
      <c r="E76" s="373" t="s">
        <v>75</v>
      </c>
      <c r="F76" s="374"/>
      <c r="G76" s="88">
        <f>+ROUND(Návrh!H73,-3)/$X$2</f>
        <v>-330</v>
      </c>
      <c r="H76" s="88">
        <f>+ROUND(Návrh!I73,-3)/$X$2</f>
        <v>-213</v>
      </c>
      <c r="I76" s="88">
        <f>+ROUND(Návrh!J73,-3)/$X$2</f>
        <v>-170</v>
      </c>
      <c r="J76" s="88" t="e">
        <f>+ROUND(Návrh!#REF!,-3)/$X$2</f>
        <v>#REF!</v>
      </c>
      <c r="K76" s="88">
        <f>+ROUND(Návrh!K73,-3)/$X$2</f>
        <v>-345</v>
      </c>
      <c r="L76" s="88">
        <f>+ROUND(Návrh!L73,-3)/$X$2</f>
        <v>-402</v>
      </c>
      <c r="M76" s="67"/>
    </row>
    <row r="77" spans="1:13" x14ac:dyDescent="0.25">
      <c r="A77" s="42" t="s">
        <v>981</v>
      </c>
      <c r="B77" s="27" t="s">
        <v>916</v>
      </c>
      <c r="C77" s="28" t="s">
        <v>917</v>
      </c>
      <c r="D77" s="28" t="s">
        <v>917</v>
      </c>
      <c r="E77" s="373" t="s">
        <v>76</v>
      </c>
      <c r="F77" s="374"/>
      <c r="G77" s="88">
        <f>+ROUND(Návrh!H74,-3)/$X$2</f>
        <v>-1082</v>
      </c>
      <c r="H77" s="88">
        <f>+ROUND(Návrh!I74,-3)/$X$2</f>
        <v>-2317</v>
      </c>
      <c r="I77" s="88">
        <f>+ROUND(Návrh!J74,-3)/$X$2</f>
        <v>-1785</v>
      </c>
      <c r="J77" s="88" t="e">
        <f>+ROUND(Návrh!#REF!,-3)/$X$2</f>
        <v>#REF!</v>
      </c>
      <c r="K77" s="88">
        <f>+ROUND(Návrh!K74,-3)/$X$2</f>
        <v>-2283</v>
      </c>
      <c r="L77" s="88">
        <f>+ROUND(Návrh!L74,-3)/$X$2</f>
        <v>-1625</v>
      </c>
      <c r="M77" s="67"/>
    </row>
    <row r="78" spans="1:13" x14ac:dyDescent="0.25">
      <c r="A78" s="42" t="s">
        <v>982</v>
      </c>
      <c r="B78" s="27" t="s">
        <v>916</v>
      </c>
      <c r="C78" s="28" t="s">
        <v>917</v>
      </c>
      <c r="D78" s="28" t="s">
        <v>917</v>
      </c>
      <c r="E78" s="373" t="s">
        <v>77</v>
      </c>
      <c r="F78" s="374"/>
      <c r="G78" s="88">
        <f>+ROUND(Návrh!H75,-3)/$X$2</f>
        <v>-25986</v>
      </c>
      <c r="H78" s="88">
        <f>+ROUND(Návrh!I75,-3)/$X$2</f>
        <v>-23764</v>
      </c>
      <c r="I78" s="88">
        <f>+ROUND(Návrh!J75,-3)/$X$2</f>
        <v>-22447</v>
      </c>
      <c r="J78" s="88" t="e">
        <f>+ROUND(Návrh!#REF!,-3)/$X$2</f>
        <v>#REF!</v>
      </c>
      <c r="K78" s="88">
        <f>+ROUND(Návrh!K75,-3)/$X$2</f>
        <v>-26352</v>
      </c>
      <c r="L78" s="88">
        <f>+ROUND(Návrh!L75,-3)/$X$2</f>
        <v>-26363</v>
      </c>
      <c r="M78" s="67"/>
    </row>
    <row r="79" spans="1:13" x14ac:dyDescent="0.25">
      <c r="A79" s="42" t="s">
        <v>983</v>
      </c>
      <c r="B79" s="27" t="s">
        <v>916</v>
      </c>
      <c r="C79" s="28" t="s">
        <v>917</v>
      </c>
      <c r="D79" s="28" t="s">
        <v>917</v>
      </c>
      <c r="E79" s="373" t="s">
        <v>78</v>
      </c>
      <c r="F79" s="374"/>
      <c r="G79" s="88">
        <f>+ROUND(Návrh!H76,-3)/$X$2</f>
        <v>-35852</v>
      </c>
      <c r="H79" s="88">
        <f>+ROUND(Návrh!I76,-3)/$X$2</f>
        <v>-35270</v>
      </c>
      <c r="I79" s="88">
        <f>+ROUND(Návrh!J76,-3)/$X$2</f>
        <v>-36000</v>
      </c>
      <c r="J79" s="88" t="e">
        <f>+ROUND(Návrh!#REF!,-3)/$X$2</f>
        <v>#REF!</v>
      </c>
      <c r="K79" s="88">
        <f>+ROUND(Návrh!K76,-3)/$X$2</f>
        <v>-36630</v>
      </c>
      <c r="L79" s="88">
        <f>+ROUND(Návrh!L76,-3)/$X$2</f>
        <v>-36222</v>
      </c>
      <c r="M79" s="67"/>
    </row>
    <row r="80" spans="1:13" x14ac:dyDescent="0.25">
      <c r="A80" s="42" t="s">
        <v>984</v>
      </c>
      <c r="B80" s="27" t="s">
        <v>916</v>
      </c>
      <c r="C80" s="28" t="s">
        <v>917</v>
      </c>
      <c r="D80" s="28" t="s">
        <v>917</v>
      </c>
      <c r="E80" s="373" t="s">
        <v>79</v>
      </c>
      <c r="F80" s="374"/>
      <c r="G80" s="88">
        <f>+ROUND(Návrh!H77,-3)/$X$2</f>
        <v>-7288</v>
      </c>
      <c r="H80" s="88">
        <f>+ROUND(Návrh!I77,-3)/$X$2</f>
        <v>-5935</v>
      </c>
      <c r="I80" s="88">
        <f>+ROUND(Návrh!J77,-3)/$X$2</f>
        <v>-7655</v>
      </c>
      <c r="J80" s="88" t="e">
        <f>+ROUND(Návrh!#REF!,-3)/$X$2</f>
        <v>#REF!</v>
      </c>
      <c r="K80" s="88">
        <f>+ROUND(Návrh!K77,-3)/$X$2</f>
        <v>-6903</v>
      </c>
      <c r="L80" s="88">
        <f>+ROUND(Návrh!L77,-3)/$X$2</f>
        <v>-7600</v>
      </c>
      <c r="M80" s="67"/>
    </row>
    <row r="81" spans="1:13" x14ac:dyDescent="0.25">
      <c r="A81" s="42" t="s">
        <v>985</v>
      </c>
      <c r="B81" s="27" t="s">
        <v>916</v>
      </c>
      <c r="C81" s="28" t="s">
        <v>917</v>
      </c>
      <c r="D81" s="28" t="s">
        <v>917</v>
      </c>
      <c r="E81" s="373" t="s">
        <v>80</v>
      </c>
      <c r="F81" s="374"/>
      <c r="G81" s="88">
        <f>+ROUND(Návrh!H78,-3)/$X$2</f>
        <v>-13280</v>
      </c>
      <c r="H81" s="88">
        <f>+ROUND(Návrh!I78,-3)/$X$2</f>
        <v>-13300</v>
      </c>
      <c r="I81" s="88">
        <f>+ROUND(Návrh!J78,-3)/$X$2</f>
        <v>-13500</v>
      </c>
      <c r="J81" s="88" t="e">
        <f>+ROUND(Návrh!#REF!,-3)/$X$2</f>
        <v>#REF!</v>
      </c>
      <c r="K81" s="88">
        <f>+ROUND(Návrh!K78,-3)/$X$2</f>
        <v>-14096</v>
      </c>
      <c r="L81" s="88">
        <f>+ROUND(Návrh!L78,-3)/$X$2</f>
        <v>-13745</v>
      </c>
      <c r="M81" s="67"/>
    </row>
    <row r="82" spans="1:13" x14ac:dyDescent="0.25">
      <c r="A82" s="42" t="s">
        <v>986</v>
      </c>
      <c r="B82" s="27" t="s">
        <v>916</v>
      </c>
      <c r="C82" s="28" t="s">
        <v>917</v>
      </c>
      <c r="D82" s="28" t="s">
        <v>917</v>
      </c>
      <c r="E82" s="373" t="s">
        <v>81</v>
      </c>
      <c r="F82" s="374"/>
      <c r="G82" s="88">
        <f>+ROUND(Návrh!H79,-3)/$X$2</f>
        <v>-5473</v>
      </c>
      <c r="H82" s="88">
        <f>+ROUND(Návrh!I79,-3)/$X$2</f>
        <v>-3113</v>
      </c>
      <c r="I82" s="88">
        <f>+ROUND(Návrh!J79,-3)/$X$2</f>
        <v>-5300</v>
      </c>
      <c r="J82" s="88" t="e">
        <f>+ROUND(Návrh!#REF!,-3)/$X$2</f>
        <v>#REF!</v>
      </c>
      <c r="K82" s="88">
        <f>+ROUND(Návrh!K79,-3)/$X$2</f>
        <v>-2806</v>
      </c>
      <c r="L82" s="88">
        <f>+ROUND(Návrh!L79,-3)/$X$2</f>
        <v>-4438</v>
      </c>
      <c r="M82" s="67"/>
    </row>
    <row r="83" spans="1:13" x14ac:dyDescent="0.25">
      <c r="A83" s="42" t="s">
        <v>987</v>
      </c>
      <c r="B83" s="27" t="s">
        <v>916</v>
      </c>
      <c r="C83" s="28" t="s">
        <v>917</v>
      </c>
      <c r="D83" s="28" t="s">
        <v>917</v>
      </c>
      <c r="E83" s="373" t="s">
        <v>82</v>
      </c>
      <c r="F83" s="374"/>
      <c r="G83" s="88">
        <f>+ROUND(Návrh!H80,-3)/$X$2</f>
        <v>-24129</v>
      </c>
      <c r="H83" s="88">
        <f>+ROUND(Návrh!I80,-3)/$X$2</f>
        <v>-27623</v>
      </c>
      <c r="I83" s="88">
        <f>+ROUND(Návrh!J80,-3)/$X$2</f>
        <v>-27817</v>
      </c>
      <c r="J83" s="88" t="e">
        <f>+ROUND(Návrh!#REF!,-3)/$X$2</f>
        <v>#REF!</v>
      </c>
      <c r="K83" s="88">
        <f>+ROUND(Návrh!K80,-3)/$X$2</f>
        <v>-27760</v>
      </c>
      <c r="L83" s="88">
        <f>+ROUND(Návrh!L80,-3)/$X$2</f>
        <v>-27678</v>
      </c>
      <c r="M83" s="67"/>
    </row>
    <row r="84" spans="1:13" x14ac:dyDescent="0.25">
      <c r="A84" s="42" t="s">
        <v>988</v>
      </c>
      <c r="B84" s="27" t="s">
        <v>916</v>
      </c>
      <c r="C84" s="28" t="s">
        <v>917</v>
      </c>
      <c r="D84" s="28" t="s">
        <v>917</v>
      </c>
      <c r="E84" s="373" t="s">
        <v>83</v>
      </c>
      <c r="F84" s="374"/>
      <c r="G84" s="88">
        <f>+ROUND(Návrh!H81,-3)/$X$2</f>
        <v>-2371</v>
      </c>
      <c r="H84" s="88">
        <f>+ROUND(Návrh!I81,-3)/$X$2</f>
        <v>-1280</v>
      </c>
      <c r="I84" s="88">
        <f>+ROUND(Návrh!J81,-3)/$X$2</f>
        <v>-1400</v>
      </c>
      <c r="J84" s="88" t="e">
        <f>+ROUND(Návrh!#REF!,-3)/$X$2</f>
        <v>#REF!</v>
      </c>
      <c r="K84" s="88">
        <f>+ROUND(Návrh!K81,-3)/$X$2</f>
        <v>-756</v>
      </c>
      <c r="L84" s="88">
        <f>+ROUND(Návrh!L81,-3)/$X$2</f>
        <v>-1155</v>
      </c>
      <c r="M84" s="67"/>
    </row>
    <row r="85" spans="1:13" x14ac:dyDescent="0.25">
      <c r="A85" s="42" t="s">
        <v>989</v>
      </c>
      <c r="B85" s="27" t="s">
        <v>916</v>
      </c>
      <c r="C85" s="28" t="s">
        <v>917</v>
      </c>
      <c r="D85" s="28" t="s">
        <v>917</v>
      </c>
      <c r="E85" s="373" t="s">
        <v>84</v>
      </c>
      <c r="F85" s="374"/>
      <c r="G85" s="88">
        <f>+ROUND(Návrh!H82,-3)/$X$2</f>
        <v>-22060</v>
      </c>
      <c r="H85" s="88">
        <f>+ROUND(Návrh!I82,-3)/$X$2</f>
        <v>-21253</v>
      </c>
      <c r="I85" s="88">
        <f>+ROUND(Návrh!J82,-3)/$X$2</f>
        <v>-21740</v>
      </c>
      <c r="J85" s="88" t="e">
        <f>+ROUND(Návrh!#REF!,-3)/$X$2</f>
        <v>#REF!</v>
      </c>
      <c r="K85" s="88">
        <f>+ROUND(Návrh!K82,-3)/$X$2</f>
        <v>-22407</v>
      </c>
      <c r="L85" s="88">
        <f>+ROUND(Návrh!L82,-3)/$X$2</f>
        <v>-22140</v>
      </c>
      <c r="M85" s="67"/>
    </row>
    <row r="86" spans="1:13" x14ac:dyDescent="0.25">
      <c r="A86" s="42" t="s">
        <v>990</v>
      </c>
      <c r="B86" s="27" t="s">
        <v>916</v>
      </c>
      <c r="C86" s="28" t="s">
        <v>917</v>
      </c>
      <c r="D86" s="28" t="s">
        <v>917</v>
      </c>
      <c r="E86" s="373" t="s">
        <v>85</v>
      </c>
      <c r="F86" s="374"/>
      <c r="G86" s="88">
        <f>+ROUND(Návrh!H83,-3)/$X$2</f>
        <v>-5464</v>
      </c>
      <c r="H86" s="88">
        <f>+ROUND(Návrh!I83,-3)/$X$2</f>
        <v>-5621</v>
      </c>
      <c r="I86" s="88">
        <f>+ROUND(Návrh!J83,-3)/$X$2</f>
        <v>-5547</v>
      </c>
      <c r="J86" s="88" t="e">
        <f>+ROUND(Návrh!#REF!,-3)/$X$2</f>
        <v>#REF!</v>
      </c>
      <c r="K86" s="88">
        <f>+ROUND(Návrh!K83,-3)/$X$2</f>
        <v>-5842</v>
      </c>
      <c r="L86" s="88">
        <f>+ROUND(Návrh!L83,-3)/$X$2</f>
        <v>-5913</v>
      </c>
      <c r="M86" s="67"/>
    </row>
    <row r="87" spans="1:13" x14ac:dyDescent="0.25">
      <c r="A87" s="42" t="s">
        <v>991</v>
      </c>
      <c r="B87" s="27" t="s">
        <v>916</v>
      </c>
      <c r="C87" s="28" t="s">
        <v>917</v>
      </c>
      <c r="D87" s="28" t="s">
        <v>917</v>
      </c>
      <c r="E87" s="373" t="s">
        <v>86</v>
      </c>
      <c r="F87" s="374"/>
      <c r="G87" s="88">
        <f>+ROUND(Návrh!H84,-3)/$X$2</f>
        <v>-19086</v>
      </c>
      <c r="H87" s="88">
        <f>+ROUND(Návrh!I84,-3)/$X$2</f>
        <v>-21706</v>
      </c>
      <c r="I87" s="88">
        <f>+ROUND(Návrh!J84,-3)/$X$2</f>
        <v>-19680</v>
      </c>
      <c r="J87" s="88" t="e">
        <f>+ROUND(Návrh!#REF!,-3)/$X$2</f>
        <v>#REF!</v>
      </c>
      <c r="K87" s="88">
        <f>+ROUND(Návrh!K84,-3)/$X$2</f>
        <v>-22733</v>
      </c>
      <c r="L87" s="88">
        <f>+ROUND(Návrh!L84,-3)/$X$2</f>
        <v>-23052</v>
      </c>
      <c r="M87" s="67"/>
    </row>
    <row r="88" spans="1:13" x14ac:dyDescent="0.25">
      <c r="A88" s="42" t="s">
        <v>992</v>
      </c>
      <c r="B88" s="27" t="s">
        <v>916</v>
      </c>
      <c r="C88" s="28" t="s">
        <v>917</v>
      </c>
      <c r="D88" s="28" t="s">
        <v>917</v>
      </c>
      <c r="E88" s="373" t="s">
        <v>87</v>
      </c>
      <c r="F88" s="374"/>
      <c r="G88" s="88">
        <f>+ROUND(Návrh!H85,-3)/$X$2</f>
        <v>-4330</v>
      </c>
      <c r="H88" s="88">
        <f>+ROUND(Návrh!I85,-3)/$X$2</f>
        <v>-4214</v>
      </c>
      <c r="I88" s="88">
        <f>+ROUND(Návrh!J85,-3)/$X$2</f>
        <v>-4330</v>
      </c>
      <c r="J88" s="88" t="e">
        <f>+ROUND(Návrh!#REF!,-3)/$X$2</f>
        <v>#REF!</v>
      </c>
      <c r="K88" s="88">
        <f>+ROUND(Návrh!K85,-3)/$X$2</f>
        <v>-4076</v>
      </c>
      <c r="L88" s="88">
        <f>+ROUND(Návrh!L85,-3)/$X$2</f>
        <v>-4330</v>
      </c>
      <c r="M88" s="67"/>
    </row>
    <row r="89" spans="1:13" x14ac:dyDescent="0.25">
      <c r="A89" s="42" t="s">
        <v>993</v>
      </c>
      <c r="B89" s="27" t="s">
        <v>916</v>
      </c>
      <c r="C89" s="28" t="s">
        <v>917</v>
      </c>
      <c r="D89" s="28" t="s">
        <v>917</v>
      </c>
      <c r="E89" s="373" t="s">
        <v>88</v>
      </c>
      <c r="F89" s="374"/>
      <c r="G89" s="88">
        <f>+ROUND(Návrh!H86,-3)/$X$2</f>
        <v>-3020</v>
      </c>
      <c r="H89" s="88">
        <f>+ROUND(Návrh!I86,-3)/$X$2</f>
        <v>-3199</v>
      </c>
      <c r="I89" s="88">
        <f>+ROUND(Návrh!J86,-3)/$X$2</f>
        <v>-3170</v>
      </c>
      <c r="J89" s="88" t="e">
        <f>+ROUND(Návrh!#REF!,-3)/$X$2</f>
        <v>#REF!</v>
      </c>
      <c r="K89" s="88">
        <f>+ROUND(Návrh!K86,-3)/$X$2</f>
        <v>-3201</v>
      </c>
      <c r="L89" s="88">
        <f>+ROUND(Návrh!L86,-3)/$X$2</f>
        <v>-3270</v>
      </c>
      <c r="M89" s="67"/>
    </row>
    <row r="90" spans="1:13" x14ac:dyDescent="0.25">
      <c r="A90" s="42" t="s">
        <v>994</v>
      </c>
      <c r="B90" s="27" t="s">
        <v>916</v>
      </c>
      <c r="C90" s="28" t="s">
        <v>917</v>
      </c>
      <c r="D90" s="28" t="s">
        <v>917</v>
      </c>
      <c r="E90" s="373" t="s">
        <v>89</v>
      </c>
      <c r="F90" s="374"/>
      <c r="G90" s="88">
        <f>+ROUND(Návrh!H87,-3)/$X$2</f>
        <v>-198</v>
      </c>
      <c r="H90" s="88">
        <f>+ROUND(Návrh!I87,-3)/$X$2</f>
        <v>-200</v>
      </c>
      <c r="I90" s="88">
        <f>+ROUND(Návrh!J87,-3)/$X$2</f>
        <v>-200</v>
      </c>
      <c r="J90" s="88" t="e">
        <f>+ROUND(Návrh!#REF!,-3)/$X$2</f>
        <v>#REF!</v>
      </c>
      <c r="K90" s="88">
        <f>+ROUND(Návrh!K87,-3)/$X$2</f>
        <v>-217</v>
      </c>
      <c r="L90" s="88">
        <f>+ROUND(Návrh!L87,-3)/$X$2</f>
        <v>-220</v>
      </c>
      <c r="M90" s="67"/>
    </row>
    <row r="91" spans="1:13" x14ac:dyDescent="0.25">
      <c r="A91" s="83" t="s">
        <v>1638</v>
      </c>
      <c r="B91" s="29" t="s">
        <v>916</v>
      </c>
      <c r="C91" s="30" t="s">
        <v>917</v>
      </c>
      <c r="D91" s="30" t="s">
        <v>917</v>
      </c>
      <c r="E91" s="387" t="s">
        <v>1639</v>
      </c>
      <c r="F91" s="388"/>
      <c r="G91" s="95">
        <f>+ROUND(Návrh!H88,-3)/$X$2</f>
        <v>0</v>
      </c>
      <c r="H91" s="95">
        <f>+ROUND(Návrh!I88,-3)/$X$2</f>
        <v>0</v>
      </c>
      <c r="I91" s="95">
        <f>+ROUND(Návrh!J88,-3)/$X$2</f>
        <v>0</v>
      </c>
      <c r="J91" s="95" t="e">
        <f>+ROUND(Návrh!#REF!,-3)/$X$2</f>
        <v>#REF!</v>
      </c>
      <c r="K91" s="95">
        <f>+ROUND(Návrh!K88,-3)/$X$2</f>
        <v>0</v>
      </c>
      <c r="L91" s="95">
        <f>+ROUND(Návrh!L88,-3)/$X$2</f>
        <v>0</v>
      </c>
      <c r="M91" s="67"/>
    </row>
    <row r="92" spans="1:13" x14ac:dyDescent="0.25">
      <c r="A92" s="42" t="s">
        <v>995</v>
      </c>
      <c r="B92" s="27" t="s">
        <v>916</v>
      </c>
      <c r="C92" s="28" t="s">
        <v>917</v>
      </c>
      <c r="D92" s="28" t="s">
        <v>917</v>
      </c>
      <c r="E92" s="373" t="s">
        <v>90</v>
      </c>
      <c r="F92" s="374"/>
      <c r="G92" s="88">
        <f>+ROUND(Návrh!H89,-3)/$X$2</f>
        <v>0</v>
      </c>
      <c r="H92" s="88">
        <f>+ROUND(Návrh!I89,-3)/$X$2</f>
        <v>-2386</v>
      </c>
      <c r="I92" s="88">
        <f>+ROUND(Návrh!J89,-3)/$X$2</f>
        <v>-2107</v>
      </c>
      <c r="J92" s="88" t="e">
        <f>+ROUND(Návrh!#REF!,-3)/$X$2</f>
        <v>#REF!</v>
      </c>
      <c r="K92" s="88">
        <f>+ROUND(Návrh!K89,-3)/$X$2</f>
        <v>-2922</v>
      </c>
      <c r="L92" s="88">
        <f>+ROUND(Návrh!L89,-3)/$X$2</f>
        <v>-2130</v>
      </c>
      <c r="M92" s="67"/>
    </row>
    <row r="93" spans="1:13" x14ac:dyDescent="0.25">
      <c r="A93" s="42" t="s">
        <v>996</v>
      </c>
      <c r="B93" s="27" t="s">
        <v>916</v>
      </c>
      <c r="C93" s="28" t="s">
        <v>917</v>
      </c>
      <c r="D93" s="28" t="s">
        <v>917</v>
      </c>
      <c r="E93" s="373" t="s">
        <v>91</v>
      </c>
      <c r="F93" s="374"/>
      <c r="G93" s="88">
        <f>+ROUND(Návrh!H90,-3)/$X$2</f>
        <v>-4270</v>
      </c>
      <c r="H93" s="88">
        <f>+ROUND(Návrh!I90,-3)/$X$2</f>
        <v>-4401</v>
      </c>
      <c r="I93" s="88">
        <f>+ROUND(Návrh!J90,-3)/$X$2</f>
        <v>-4350</v>
      </c>
      <c r="J93" s="88" t="e">
        <f>+ROUND(Návrh!#REF!,-3)/$X$2</f>
        <v>#REF!</v>
      </c>
      <c r="K93" s="88">
        <f>+ROUND(Návrh!K90,-3)/$X$2</f>
        <v>-4032</v>
      </c>
      <c r="L93" s="88">
        <f>+ROUND(Návrh!L90,-3)/$X$2</f>
        <v>-4470</v>
      </c>
      <c r="M93" s="67"/>
    </row>
    <row r="94" spans="1:13" x14ac:dyDescent="0.25">
      <c r="A94" s="42" t="s">
        <v>997</v>
      </c>
      <c r="B94" s="20" t="s">
        <v>922</v>
      </c>
      <c r="C94" s="20" t="s">
        <v>923</v>
      </c>
      <c r="D94" s="20" t="s">
        <v>922</v>
      </c>
      <c r="E94" s="373" t="s">
        <v>92</v>
      </c>
      <c r="F94" s="374"/>
      <c r="G94" s="88">
        <f>+ROUND(Návrh!H91,-3)/$X$2</f>
        <v>101082</v>
      </c>
      <c r="H94" s="88">
        <f>+ROUND(Návrh!I91,-3)/$X$2</f>
        <v>0</v>
      </c>
      <c r="I94" s="88">
        <f>+ROUND(Návrh!J91,-3)/$X$2</f>
        <v>0</v>
      </c>
      <c r="J94" s="88" t="e">
        <f>+ROUND(Návrh!#REF!,-3)/$X$2</f>
        <v>#REF!</v>
      </c>
      <c r="K94" s="88">
        <f>+ROUND(Návrh!K91,-3)/$X$2</f>
        <v>0</v>
      </c>
      <c r="L94" s="88">
        <f>+ROUND(Návrh!L91,-3)/$X$2</f>
        <v>0</v>
      </c>
      <c r="M94" s="67"/>
    </row>
    <row r="95" spans="1:13" x14ac:dyDescent="0.25">
      <c r="A95" s="42" t="s">
        <v>998</v>
      </c>
      <c r="B95" s="27" t="s">
        <v>916</v>
      </c>
      <c r="C95" s="28" t="s">
        <v>917</v>
      </c>
      <c r="D95" s="28" t="s">
        <v>917</v>
      </c>
      <c r="E95" s="373" t="s">
        <v>1637</v>
      </c>
      <c r="F95" s="374"/>
      <c r="G95" s="88">
        <f>+ROUND(Návrh!H92,-3)/$X$2</f>
        <v>-110</v>
      </c>
      <c r="H95" s="88">
        <f>+ROUND(Návrh!I92,-3)/$X$2</f>
        <v>-8</v>
      </c>
      <c r="I95" s="88">
        <f>+ROUND(Návrh!J92,-3)/$X$2</f>
        <v>-110</v>
      </c>
      <c r="J95" s="88" t="e">
        <f>+ROUND(Návrh!#REF!,-3)/$X$2</f>
        <v>#REF!</v>
      </c>
      <c r="K95" s="88">
        <f>+ROUND(Návrh!K92,-3)/$X$2</f>
        <v>-1</v>
      </c>
      <c r="L95" s="88">
        <f>+ROUND(Návrh!L92,-3)/$X$2</f>
        <v>-5</v>
      </c>
      <c r="M95" s="67"/>
    </row>
    <row r="96" spans="1:13" x14ac:dyDescent="0.25">
      <c r="A96" s="42" t="s">
        <v>999</v>
      </c>
      <c r="B96" s="27" t="s">
        <v>916</v>
      </c>
      <c r="C96" s="28" t="s">
        <v>917</v>
      </c>
      <c r="D96" s="28" t="s">
        <v>917</v>
      </c>
      <c r="E96" s="359" t="s">
        <v>1676</v>
      </c>
      <c r="F96" s="360"/>
      <c r="G96" s="88">
        <f>+ROUND(Návrh!H93,-3)/$X$2</f>
        <v>-1502</v>
      </c>
      <c r="H96" s="88">
        <f>+ROUND(Návrh!I93,-3)/$X$2</f>
        <v>-765</v>
      </c>
      <c r="I96" s="88">
        <f>+ROUND(Návrh!J93,-3)/$X$2</f>
        <v>-1400</v>
      </c>
      <c r="J96" s="88" t="e">
        <f>+ROUND(Návrh!#REF!,-3)/$X$2</f>
        <v>#REF!</v>
      </c>
      <c r="K96" s="88">
        <f>+ROUND(Návrh!K93,-3)/$X$2</f>
        <v>0</v>
      </c>
      <c r="L96" s="88">
        <f>+ROUND(Návrh!L93,-3)/$X$2</f>
        <v>0</v>
      </c>
      <c r="M96" s="67"/>
    </row>
    <row r="97" spans="1:13" x14ac:dyDescent="0.25">
      <c r="A97" s="42" t="s">
        <v>1000</v>
      </c>
      <c r="B97" s="27" t="s">
        <v>916</v>
      </c>
      <c r="C97" s="28" t="s">
        <v>917</v>
      </c>
      <c r="D97" s="28" t="s">
        <v>917</v>
      </c>
      <c r="E97" s="359" t="s">
        <v>1675</v>
      </c>
      <c r="F97" s="360"/>
      <c r="G97" s="88">
        <f>+ROUND(Návrh!H94,-3)/$X$2</f>
        <v>-220</v>
      </c>
      <c r="H97" s="88">
        <f>+ROUND(Návrh!I94,-3)/$X$2</f>
        <v>-110</v>
      </c>
      <c r="I97" s="88">
        <f>+ROUND(Návrh!J94,-3)/$X$2</f>
        <v>-240</v>
      </c>
      <c r="J97" s="88" t="e">
        <f>+ROUND(Návrh!#REF!,-3)/$X$2</f>
        <v>#REF!</v>
      </c>
      <c r="K97" s="88">
        <f>+ROUND(Návrh!K94,-3)/$X$2</f>
        <v>0</v>
      </c>
      <c r="L97" s="88">
        <f>+ROUND(Návrh!L94,-3)/$X$2</f>
        <v>0</v>
      </c>
      <c r="M97" s="67"/>
    </row>
    <row r="98" spans="1:13" x14ac:dyDescent="0.25">
      <c r="A98" s="42" t="s">
        <v>1001</v>
      </c>
      <c r="B98" s="27" t="s">
        <v>916</v>
      </c>
      <c r="C98" s="28" t="s">
        <v>917</v>
      </c>
      <c r="D98" s="28" t="s">
        <v>917</v>
      </c>
      <c r="E98" s="373" t="s">
        <v>94</v>
      </c>
      <c r="F98" s="374"/>
      <c r="G98" s="88">
        <f>+ROUND(Návrh!H95,-3)/$X$2</f>
        <v>-146</v>
      </c>
      <c r="H98" s="88">
        <f>+ROUND(Návrh!I95,-3)/$X$2</f>
        <v>0</v>
      </c>
      <c r="I98" s="88">
        <f>+ROUND(Návrh!J95,-3)/$X$2</f>
        <v>0</v>
      </c>
      <c r="J98" s="88" t="e">
        <f>+ROUND(Návrh!#REF!,-3)/$X$2</f>
        <v>#REF!</v>
      </c>
      <c r="K98" s="88">
        <f>+ROUND(Návrh!K95,-3)/$X$2</f>
        <v>-1851</v>
      </c>
      <c r="L98" s="88">
        <f>+ROUND(Návrh!L95,-3)/$X$2</f>
        <v>-2555</v>
      </c>
      <c r="M98" s="67"/>
    </row>
    <row r="99" spans="1:13" x14ac:dyDescent="0.25">
      <c r="A99" s="42" t="s">
        <v>1002</v>
      </c>
      <c r="B99" s="27" t="s">
        <v>916</v>
      </c>
      <c r="C99" s="28" t="s">
        <v>917</v>
      </c>
      <c r="D99" s="28" t="s">
        <v>917</v>
      </c>
      <c r="E99" s="373" t="s">
        <v>95</v>
      </c>
      <c r="F99" s="374"/>
      <c r="G99" s="88">
        <f>+ROUND(Návrh!H96,-3)/$X$2</f>
        <v>0</v>
      </c>
      <c r="H99" s="88">
        <f>+ROUND(Návrh!I96,-3)/$X$2</f>
        <v>-503</v>
      </c>
      <c r="I99" s="88">
        <f>+ROUND(Návrh!J96,-3)/$X$2</f>
        <v>0</v>
      </c>
      <c r="J99" s="88" t="e">
        <f>+ROUND(Návrh!#REF!,-3)/$X$2</f>
        <v>#REF!</v>
      </c>
      <c r="K99" s="88">
        <f>+ROUND(Návrh!K96,-3)/$X$2</f>
        <v>0</v>
      </c>
      <c r="L99" s="88">
        <f>+ROUND(Návrh!L96,-3)/$X$2</f>
        <v>0</v>
      </c>
      <c r="M99" s="67"/>
    </row>
    <row r="100" spans="1:13" x14ac:dyDescent="0.25">
      <c r="A100" s="26" t="s">
        <v>1003</v>
      </c>
      <c r="B100" s="31"/>
      <c r="C100" s="32"/>
      <c r="D100" s="32"/>
      <c r="E100" s="379" t="s">
        <v>96</v>
      </c>
      <c r="F100" s="380"/>
      <c r="G100" s="92">
        <f>+ROUND(Návrh!H97,-3)/$X$2</f>
        <v>-42760</v>
      </c>
      <c r="H100" s="92">
        <f>+ROUND(Návrh!I97,-3)/$X$2</f>
        <v>-44790</v>
      </c>
      <c r="I100" s="92">
        <f>+ROUND(Návrh!J97,-3)/$X$2</f>
        <v>-44490</v>
      </c>
      <c r="J100" s="92" t="e">
        <f>+ROUND(Návrh!#REF!,-3)/$X$2</f>
        <v>#REF!</v>
      </c>
      <c r="K100" s="92">
        <f>+ROUND(Návrh!K97,-3)/$X$2</f>
        <v>-46488</v>
      </c>
      <c r="L100" s="92">
        <f>+ROUND(Návrh!L97,-3)/$X$2</f>
        <v>-48155</v>
      </c>
      <c r="M100" s="67"/>
    </row>
    <row r="101" spans="1:13" x14ac:dyDescent="0.25">
      <c r="A101" s="42" t="s">
        <v>1004</v>
      </c>
      <c r="B101" s="27" t="s">
        <v>916</v>
      </c>
      <c r="C101" s="28" t="s">
        <v>920</v>
      </c>
      <c r="D101" s="28" t="s">
        <v>917</v>
      </c>
      <c r="E101" s="373" t="s">
        <v>97</v>
      </c>
      <c r="F101" s="374"/>
      <c r="G101" s="88">
        <f>+ROUND(Návrh!H98,-3)/$X$2</f>
        <v>-17861</v>
      </c>
      <c r="H101" s="88">
        <f>+ROUND(Návrh!I98,-3)/$X$2</f>
        <v>-18432</v>
      </c>
      <c r="I101" s="88">
        <f>+ROUND(Návrh!J98,-3)/$X$2</f>
        <v>-17950</v>
      </c>
      <c r="J101" s="88" t="e">
        <f>+ROUND(Návrh!#REF!,-3)/$X$2</f>
        <v>#REF!</v>
      </c>
      <c r="K101" s="88">
        <f>+ROUND(Návrh!K98,-3)/$X$2</f>
        <v>-19859</v>
      </c>
      <c r="L101" s="88">
        <f>+ROUND(Návrh!L98,-3)/$X$2</f>
        <v>-19815</v>
      </c>
      <c r="M101" s="67"/>
    </row>
    <row r="102" spans="1:13" x14ac:dyDescent="0.25">
      <c r="A102" s="42" t="s">
        <v>1005</v>
      </c>
      <c r="B102" s="27" t="s">
        <v>916</v>
      </c>
      <c r="C102" s="28" t="s">
        <v>920</v>
      </c>
      <c r="D102" s="28" t="s">
        <v>917</v>
      </c>
      <c r="E102" s="373" t="s">
        <v>98</v>
      </c>
      <c r="F102" s="374"/>
      <c r="G102" s="88">
        <f>+ROUND(Návrh!H99,-3)/$X$2</f>
        <v>-3894</v>
      </c>
      <c r="H102" s="88">
        <f>+ROUND(Návrh!I99,-3)/$X$2</f>
        <v>-3837</v>
      </c>
      <c r="I102" s="88">
        <f>+ROUND(Návrh!J99,-3)/$X$2</f>
        <v>-3960</v>
      </c>
      <c r="J102" s="88" t="e">
        <f>+ROUND(Návrh!#REF!,-3)/$X$2</f>
        <v>#REF!</v>
      </c>
      <c r="K102" s="88">
        <f>+ROUND(Návrh!K99,-3)/$X$2</f>
        <v>-3750</v>
      </c>
      <c r="L102" s="88">
        <f>+ROUND(Návrh!L99,-3)/$X$2</f>
        <v>-3960</v>
      </c>
      <c r="M102" s="67"/>
    </row>
    <row r="103" spans="1:13" x14ac:dyDescent="0.25">
      <c r="A103" s="42" t="s">
        <v>1006</v>
      </c>
      <c r="B103" s="27" t="s">
        <v>916</v>
      </c>
      <c r="C103" s="28" t="s">
        <v>919</v>
      </c>
      <c r="D103" s="28" t="s">
        <v>917</v>
      </c>
      <c r="E103" s="373" t="s">
        <v>99</v>
      </c>
      <c r="F103" s="374"/>
      <c r="G103" s="88">
        <f>+ROUND(Návrh!H100,-3)/$X$2</f>
        <v>-1851</v>
      </c>
      <c r="H103" s="88">
        <f>+ROUND(Návrh!I100,-3)/$X$2</f>
        <v>-1937</v>
      </c>
      <c r="I103" s="88">
        <f>+ROUND(Návrh!J100,-3)/$X$2</f>
        <v>-1925</v>
      </c>
      <c r="J103" s="88" t="e">
        <f>+ROUND(Návrh!#REF!,-3)/$X$2</f>
        <v>#REF!</v>
      </c>
      <c r="K103" s="88">
        <f>+ROUND(Návrh!K100,-3)/$X$2</f>
        <v>-1677</v>
      </c>
      <c r="L103" s="88">
        <f>+ROUND(Návrh!L100,-3)/$X$2</f>
        <v>-1925</v>
      </c>
      <c r="M103" s="67"/>
    </row>
    <row r="104" spans="1:13" x14ac:dyDescent="0.25">
      <c r="A104" s="42" t="s">
        <v>1007</v>
      </c>
      <c r="B104" s="27" t="s">
        <v>916</v>
      </c>
      <c r="C104" s="28" t="s">
        <v>919</v>
      </c>
      <c r="D104" s="28" t="s">
        <v>917</v>
      </c>
      <c r="E104" s="373" t="s">
        <v>100</v>
      </c>
      <c r="F104" s="374"/>
      <c r="G104" s="88">
        <f>+ROUND(Návrh!H101,-3)/$X$2</f>
        <v>-288</v>
      </c>
      <c r="H104" s="88">
        <f>+ROUND(Návrh!I101,-3)/$X$2</f>
        <v>-219</v>
      </c>
      <c r="I104" s="88">
        <f>+ROUND(Návrh!J101,-3)/$X$2</f>
        <v>-250</v>
      </c>
      <c r="J104" s="88" t="e">
        <f>+ROUND(Návrh!#REF!,-3)/$X$2</f>
        <v>#REF!</v>
      </c>
      <c r="K104" s="88">
        <f>+ROUND(Návrh!K101,-3)/$X$2</f>
        <v>-211</v>
      </c>
      <c r="L104" s="88">
        <f>+ROUND(Návrh!L101,-3)/$X$2</f>
        <v>-220</v>
      </c>
      <c r="M104" s="67"/>
    </row>
    <row r="105" spans="1:13" x14ac:dyDescent="0.25">
      <c r="A105" s="42" t="s">
        <v>1008</v>
      </c>
      <c r="B105" s="27" t="s">
        <v>916</v>
      </c>
      <c r="C105" s="28" t="s">
        <v>923</v>
      </c>
      <c r="D105" s="28" t="s">
        <v>917</v>
      </c>
      <c r="E105" s="373" t="s">
        <v>101</v>
      </c>
      <c r="F105" s="374"/>
      <c r="G105" s="88">
        <f>+ROUND(Návrh!H102,-3)/$X$2</f>
        <v>-353</v>
      </c>
      <c r="H105" s="88">
        <f>+ROUND(Návrh!I102,-3)/$X$2</f>
        <v>-377</v>
      </c>
      <c r="I105" s="88">
        <f>+ROUND(Návrh!J102,-3)/$X$2</f>
        <v>-380</v>
      </c>
      <c r="J105" s="88" t="e">
        <f>+ROUND(Návrh!#REF!,-3)/$X$2</f>
        <v>#REF!</v>
      </c>
      <c r="K105" s="88">
        <f>+ROUND(Návrh!K102,-3)/$X$2</f>
        <v>-358</v>
      </c>
      <c r="L105" s="88">
        <f>+ROUND(Návrh!L102,-3)/$X$2</f>
        <v>-380</v>
      </c>
      <c r="M105" s="67"/>
    </row>
    <row r="106" spans="1:13" x14ac:dyDescent="0.25">
      <c r="A106" s="42" t="s">
        <v>1009</v>
      </c>
      <c r="B106" s="20" t="s">
        <v>916</v>
      </c>
      <c r="C106" s="20" t="s">
        <v>919</v>
      </c>
      <c r="D106" s="20" t="s">
        <v>1014</v>
      </c>
      <c r="E106" s="373" t="s">
        <v>102</v>
      </c>
      <c r="F106" s="374"/>
      <c r="G106" s="88">
        <f>+ROUND(Návrh!H103,-3)/$X$2</f>
        <v>-41</v>
      </c>
      <c r="H106" s="88">
        <f>+ROUND(Návrh!I103,-3)/$X$2</f>
        <v>-41</v>
      </c>
      <c r="I106" s="88">
        <f>+ROUND(Návrh!J103,-3)/$X$2</f>
        <v>-45</v>
      </c>
      <c r="J106" s="88" t="e">
        <f>+ROUND(Návrh!#REF!,-3)/$X$2</f>
        <v>#REF!</v>
      </c>
      <c r="K106" s="88">
        <f>+ROUND(Návrh!K103,-3)/$X$2</f>
        <v>-20</v>
      </c>
      <c r="L106" s="88">
        <f>+ROUND(Návrh!L103,-3)/$X$2</f>
        <v>-30</v>
      </c>
      <c r="M106" s="67"/>
    </row>
    <row r="107" spans="1:13" x14ac:dyDescent="0.25">
      <c r="A107" s="42" t="s">
        <v>1010</v>
      </c>
      <c r="B107" s="27" t="s">
        <v>916</v>
      </c>
      <c r="C107" s="28" t="s">
        <v>919</v>
      </c>
      <c r="D107" s="28" t="s">
        <v>917</v>
      </c>
      <c r="E107" s="373" t="s">
        <v>103</v>
      </c>
      <c r="F107" s="374"/>
      <c r="G107" s="88">
        <f>+ROUND(Návrh!H104,-3)/$X$2</f>
        <v>-15134</v>
      </c>
      <c r="H107" s="88">
        <f>+ROUND(Návrh!I104,-3)/$X$2</f>
        <v>-16163</v>
      </c>
      <c r="I107" s="88">
        <f>+ROUND(Návrh!J104,-3)/$X$2</f>
        <v>-16500</v>
      </c>
      <c r="J107" s="88" t="e">
        <f>+ROUND(Návrh!#REF!,-3)/$X$2</f>
        <v>#REF!</v>
      </c>
      <c r="K107" s="88">
        <f>+ROUND(Návrh!K104,-3)/$X$2</f>
        <v>-17014</v>
      </c>
      <c r="L107" s="88">
        <f>+ROUND(Návrh!L104,-3)/$X$2</f>
        <v>-18054</v>
      </c>
      <c r="M107" s="67"/>
    </row>
    <row r="108" spans="1:13" x14ac:dyDescent="0.25">
      <c r="A108" s="42" t="s">
        <v>1011</v>
      </c>
      <c r="B108" s="27" t="s">
        <v>916</v>
      </c>
      <c r="C108" s="28" t="s">
        <v>919</v>
      </c>
      <c r="D108" s="28" t="s">
        <v>917</v>
      </c>
      <c r="E108" s="373" t="s">
        <v>104</v>
      </c>
      <c r="F108" s="374"/>
      <c r="G108" s="88">
        <f>+ROUND(Návrh!H105,-3)/$X$2</f>
        <v>-1879</v>
      </c>
      <c r="H108" s="88">
        <f>+ROUND(Návrh!I105,-3)/$X$2</f>
        <v>-2108</v>
      </c>
      <c r="I108" s="88">
        <f>+ROUND(Návrh!J105,-3)/$X$2</f>
        <v>-1800</v>
      </c>
      <c r="J108" s="88" t="e">
        <f>+ROUND(Návrh!#REF!,-3)/$X$2</f>
        <v>#REF!</v>
      </c>
      <c r="K108" s="88">
        <f>+ROUND(Návrh!K105,-3)/$X$2</f>
        <v>-1681</v>
      </c>
      <c r="L108" s="88">
        <f>+ROUND(Návrh!L105,-3)/$X$2</f>
        <v>-1760</v>
      </c>
      <c r="M108" s="67"/>
    </row>
    <row r="109" spans="1:13" x14ac:dyDescent="0.25">
      <c r="A109" s="42" t="s">
        <v>1012</v>
      </c>
      <c r="B109" s="27" t="s">
        <v>916</v>
      </c>
      <c r="C109" s="28" t="s">
        <v>923</v>
      </c>
      <c r="D109" s="28" t="s">
        <v>917</v>
      </c>
      <c r="E109" s="373" t="s">
        <v>105</v>
      </c>
      <c r="F109" s="374"/>
      <c r="G109" s="88">
        <f>+ROUND(Návrh!H106,-3)/$X$2</f>
        <v>-215</v>
      </c>
      <c r="H109" s="88">
        <f>+ROUND(Návrh!I106,-3)/$X$2</f>
        <v>-346</v>
      </c>
      <c r="I109" s="88">
        <f>+ROUND(Návrh!J106,-3)/$X$2</f>
        <v>-330</v>
      </c>
      <c r="J109" s="88" t="e">
        <f>+ROUND(Návrh!#REF!,-3)/$X$2</f>
        <v>#REF!</v>
      </c>
      <c r="K109" s="88">
        <f>+ROUND(Návrh!K106,-3)/$X$2</f>
        <v>-454</v>
      </c>
      <c r="L109" s="88">
        <f>+ROUND(Návrh!L106,-3)/$X$2</f>
        <v>-458</v>
      </c>
      <c r="M109" s="67"/>
    </row>
    <row r="110" spans="1:13" x14ac:dyDescent="0.25">
      <c r="A110" s="42" t="s">
        <v>1013</v>
      </c>
      <c r="B110" s="27" t="s">
        <v>916</v>
      </c>
      <c r="C110" s="28" t="s">
        <v>919</v>
      </c>
      <c r="D110" s="28" t="s">
        <v>917</v>
      </c>
      <c r="E110" s="373" t="s">
        <v>106</v>
      </c>
      <c r="F110" s="374"/>
      <c r="G110" s="88">
        <f>+ROUND(Návrh!H107,-3)/$X$2</f>
        <v>-1244</v>
      </c>
      <c r="H110" s="88">
        <f>+ROUND(Návrh!I107,-3)/$X$2</f>
        <v>-1331</v>
      </c>
      <c r="I110" s="88">
        <f>+ROUND(Návrh!J107,-3)/$X$2</f>
        <v>-1350</v>
      </c>
      <c r="J110" s="88" t="e">
        <f>+ROUND(Návrh!#REF!,-3)/$X$2</f>
        <v>#REF!</v>
      </c>
      <c r="K110" s="88">
        <f>+ROUND(Návrh!K107,-3)/$X$2</f>
        <v>-1464</v>
      </c>
      <c r="L110" s="88">
        <f>+ROUND(Návrh!L107,-3)/$X$2</f>
        <v>-1554</v>
      </c>
      <c r="M110" s="67"/>
    </row>
    <row r="111" spans="1:13" x14ac:dyDescent="0.25">
      <c r="A111" s="26" t="s">
        <v>1015</v>
      </c>
      <c r="B111" s="26"/>
      <c r="C111" s="23"/>
      <c r="D111" s="23"/>
      <c r="E111" s="379" t="s">
        <v>107</v>
      </c>
      <c r="F111" s="380"/>
      <c r="G111" s="92">
        <f>+ROUND(Návrh!H108,-3)/$X$2</f>
        <v>-40560</v>
      </c>
      <c r="H111" s="92">
        <f>+ROUND(Návrh!I108,-3)/$X$2</f>
        <v>-45196</v>
      </c>
      <c r="I111" s="92">
        <f>+ROUND(Návrh!J108,-3)/$X$2</f>
        <v>-44058</v>
      </c>
      <c r="J111" s="92" t="e">
        <f>+ROUND(Návrh!#REF!,-3)/$X$2</f>
        <v>#REF!</v>
      </c>
      <c r="K111" s="92">
        <f>+ROUND(Návrh!K108,-3)/$X$2</f>
        <v>-42491</v>
      </c>
      <c r="L111" s="92">
        <f>+ROUND(Návrh!L108,-3)/$X$2</f>
        <v>-43208</v>
      </c>
      <c r="M111" s="67"/>
    </row>
    <row r="112" spans="1:13" x14ac:dyDescent="0.25">
      <c r="A112" s="42" t="s">
        <v>1016</v>
      </c>
      <c r="B112" s="28" t="s">
        <v>916</v>
      </c>
      <c r="C112" s="28" t="s">
        <v>923</v>
      </c>
      <c r="D112" s="28" t="s">
        <v>917</v>
      </c>
      <c r="E112" s="373" t="s">
        <v>108</v>
      </c>
      <c r="F112" s="374"/>
      <c r="G112" s="88">
        <f>+ROUND(Návrh!H109,-3)/$X$2</f>
        <v>-1163</v>
      </c>
      <c r="H112" s="88">
        <f>+ROUND(Návrh!I109,-3)/$X$2</f>
        <v>-2095</v>
      </c>
      <c r="I112" s="88">
        <f>+ROUND(Návrh!J109,-3)/$X$2</f>
        <v>-1100</v>
      </c>
      <c r="J112" s="88" t="e">
        <f>+ROUND(Návrh!#REF!,-3)/$X$2</f>
        <v>#REF!</v>
      </c>
      <c r="K112" s="88">
        <f>+ROUND(Návrh!K109,-3)/$X$2</f>
        <v>-1088</v>
      </c>
      <c r="L112" s="88">
        <f>+ROUND(Návrh!L109,-3)/$X$2</f>
        <v>-1200</v>
      </c>
      <c r="M112" s="67"/>
    </row>
    <row r="113" spans="1:13" x14ac:dyDescent="0.25">
      <c r="A113" s="42" t="s">
        <v>1017</v>
      </c>
      <c r="B113" s="28" t="s">
        <v>916</v>
      </c>
      <c r="C113" s="28" t="s">
        <v>917</v>
      </c>
      <c r="D113" s="28" t="s">
        <v>917</v>
      </c>
      <c r="E113" s="373" t="s">
        <v>109</v>
      </c>
      <c r="F113" s="374"/>
      <c r="G113" s="88">
        <f>+ROUND(Návrh!H110,-3)/$X$2</f>
        <v>-2455</v>
      </c>
      <c r="H113" s="88">
        <f>+ROUND(Návrh!I110,-3)/$X$2</f>
        <v>-2678</v>
      </c>
      <c r="I113" s="88">
        <f>+ROUND(Návrh!J110,-3)/$X$2</f>
        <v>-2677</v>
      </c>
      <c r="J113" s="88" t="e">
        <f>+ROUND(Návrh!#REF!,-3)/$X$2</f>
        <v>#REF!</v>
      </c>
      <c r="K113" s="88">
        <f>+ROUND(Návrh!K110,-3)/$X$2</f>
        <v>-2628</v>
      </c>
      <c r="L113" s="88">
        <f>+ROUND(Návrh!L110,-3)/$X$2</f>
        <v>-2641</v>
      </c>
      <c r="M113" s="67"/>
    </row>
    <row r="114" spans="1:13" x14ac:dyDescent="0.25">
      <c r="A114" s="42" t="s">
        <v>1018</v>
      </c>
      <c r="B114" s="27" t="s">
        <v>916</v>
      </c>
      <c r="C114" s="28" t="s">
        <v>923</v>
      </c>
      <c r="D114" s="28" t="s">
        <v>917</v>
      </c>
      <c r="E114" s="373" t="s">
        <v>110</v>
      </c>
      <c r="F114" s="374"/>
      <c r="G114" s="88">
        <f>+ROUND(Návrh!H111,-3)/$X$2</f>
        <v>-11910</v>
      </c>
      <c r="H114" s="88">
        <f>+ROUND(Návrh!I111,-3)/$X$2</f>
        <v>-12883</v>
      </c>
      <c r="I114" s="88">
        <f>+ROUND(Návrh!J111,-3)/$X$2</f>
        <v>-12500</v>
      </c>
      <c r="J114" s="88" t="e">
        <f>+ROUND(Návrh!#REF!,-3)/$X$2</f>
        <v>#REF!</v>
      </c>
      <c r="K114" s="88">
        <f>+ROUND(Návrh!K111,-3)/$X$2</f>
        <v>-12894</v>
      </c>
      <c r="L114" s="88">
        <f>+ROUND(Návrh!L111,-3)/$X$2</f>
        <v>-13236</v>
      </c>
      <c r="M114" s="67"/>
    </row>
    <row r="115" spans="1:13" x14ac:dyDescent="0.25">
      <c r="A115" s="42" t="s">
        <v>1019</v>
      </c>
      <c r="B115" s="28" t="s">
        <v>916</v>
      </c>
      <c r="C115" s="28" t="s">
        <v>917</v>
      </c>
      <c r="D115" s="28" t="s">
        <v>917</v>
      </c>
      <c r="E115" s="373" t="s">
        <v>111</v>
      </c>
      <c r="F115" s="374"/>
      <c r="G115" s="88">
        <f>+ROUND(Návrh!H112,-3)/$X$2</f>
        <v>-5326</v>
      </c>
      <c r="H115" s="88">
        <f>+ROUND(Návrh!I112,-3)/$X$2</f>
        <v>-5652</v>
      </c>
      <c r="I115" s="88">
        <f>+ROUND(Návrh!J112,-3)/$X$2</f>
        <v>-5370</v>
      </c>
      <c r="J115" s="88" t="e">
        <f>+ROUND(Návrh!#REF!,-3)/$X$2</f>
        <v>#REF!</v>
      </c>
      <c r="K115" s="88">
        <f>+ROUND(Návrh!K112,-3)/$X$2</f>
        <v>-5692</v>
      </c>
      <c r="L115" s="88">
        <f>+ROUND(Návrh!L112,-3)/$X$2</f>
        <v>-5781</v>
      </c>
      <c r="M115" s="67"/>
    </row>
    <row r="116" spans="1:13" x14ac:dyDescent="0.25">
      <c r="A116" s="42" t="s">
        <v>1020</v>
      </c>
      <c r="B116" s="20" t="s">
        <v>916</v>
      </c>
      <c r="C116" s="20" t="s">
        <v>923</v>
      </c>
      <c r="D116" s="20" t="s">
        <v>1648</v>
      </c>
      <c r="E116" s="373" t="s">
        <v>112</v>
      </c>
      <c r="F116" s="374"/>
      <c r="G116" s="88">
        <f>+ROUND(Návrh!H113,-3)/$X$2</f>
        <v>-1075</v>
      </c>
      <c r="H116" s="88">
        <f>+ROUND(Návrh!I113,-3)/$X$2</f>
        <v>-1530</v>
      </c>
      <c r="I116" s="88">
        <f>+ROUND(Návrh!J113,-3)/$X$2</f>
        <v>-1500</v>
      </c>
      <c r="J116" s="88" t="e">
        <f>+ROUND(Návrh!#REF!,-3)/$X$2</f>
        <v>#REF!</v>
      </c>
      <c r="K116" s="88">
        <f>+ROUND(Návrh!K113,-3)/$X$2</f>
        <v>-1791</v>
      </c>
      <c r="L116" s="88">
        <f>+ROUND(Návrh!L113,-3)/$X$2</f>
        <v>-1603</v>
      </c>
      <c r="M116" s="67"/>
    </row>
    <row r="117" spans="1:13" x14ac:dyDescent="0.25">
      <c r="A117" s="42" t="s">
        <v>1021</v>
      </c>
      <c r="B117" s="33"/>
      <c r="C117" s="33"/>
      <c r="D117" s="33"/>
      <c r="E117" s="373" t="s">
        <v>113</v>
      </c>
      <c r="F117" s="374"/>
      <c r="G117" s="88">
        <f>+ROUND(Návrh!H114,-3)/$X$2</f>
        <v>-1178</v>
      </c>
      <c r="H117" s="88">
        <f>+ROUND(Návrh!I114,-3)/$X$2</f>
        <v>-1190</v>
      </c>
      <c r="I117" s="88">
        <f>+ROUND(Návrh!J114,-3)/$X$2</f>
        <v>-1200</v>
      </c>
      <c r="J117" s="88" t="e">
        <f>+ROUND(Návrh!#REF!,-3)/$X$2</f>
        <v>#REF!</v>
      </c>
      <c r="K117" s="88">
        <f>+ROUND(Návrh!K114,-3)/$X$2</f>
        <v>-296</v>
      </c>
      <c r="L117" s="88">
        <f>+ROUND(Návrh!L114,-3)/$X$2</f>
        <v>0</v>
      </c>
      <c r="M117" s="67"/>
    </row>
    <row r="118" spans="1:13" x14ac:dyDescent="0.25">
      <c r="A118" s="42" t="s">
        <v>1022</v>
      </c>
      <c r="B118" s="28" t="s">
        <v>916</v>
      </c>
      <c r="C118" s="28" t="s">
        <v>923</v>
      </c>
      <c r="D118" s="28" t="s">
        <v>1037</v>
      </c>
      <c r="E118" s="373" t="s">
        <v>114</v>
      </c>
      <c r="F118" s="374"/>
      <c r="G118" s="88">
        <f>+ROUND(Návrh!H115,-3)/$X$2</f>
        <v>-316</v>
      </c>
      <c r="H118" s="88">
        <f>+ROUND(Návrh!I115,-3)/$X$2</f>
        <v>-307</v>
      </c>
      <c r="I118" s="88">
        <f>+ROUND(Návrh!J115,-3)/$X$2</f>
        <v>-300</v>
      </c>
      <c r="J118" s="88" t="e">
        <f>+ROUND(Návrh!#REF!,-3)/$X$2</f>
        <v>#REF!</v>
      </c>
      <c r="K118" s="88">
        <f>+ROUND(Návrh!K115,-3)/$X$2</f>
        <v>-100</v>
      </c>
      <c r="L118" s="88">
        <f>+ROUND(Návrh!L115,-3)/$X$2</f>
        <v>-150</v>
      </c>
      <c r="M118" s="67"/>
    </row>
    <row r="119" spans="1:13" x14ac:dyDescent="0.25">
      <c r="A119" s="42" t="s">
        <v>1023</v>
      </c>
      <c r="B119" s="28" t="s">
        <v>916</v>
      </c>
      <c r="C119" s="28" t="s">
        <v>923</v>
      </c>
      <c r="D119" s="28" t="s">
        <v>1037</v>
      </c>
      <c r="E119" s="373" t="s">
        <v>115</v>
      </c>
      <c r="F119" s="374"/>
      <c r="G119" s="88">
        <f>+ROUND(Návrh!H116,-3)/$X$2</f>
        <v>-869</v>
      </c>
      <c r="H119" s="88">
        <f>+ROUND(Návrh!I116,-3)/$X$2</f>
        <v>-1192</v>
      </c>
      <c r="I119" s="88">
        <f>+ROUND(Návrh!J116,-3)/$X$2</f>
        <v>-2100</v>
      </c>
      <c r="J119" s="88" t="e">
        <f>+ROUND(Návrh!#REF!,-3)/$X$2</f>
        <v>#REF!</v>
      </c>
      <c r="K119" s="88">
        <f>+ROUND(Návrh!K116,-3)/$X$2</f>
        <v>-1467</v>
      </c>
      <c r="L119" s="88">
        <f>+ROUND(Návrh!L116,-3)/$X$2</f>
        <v>-2186</v>
      </c>
      <c r="M119" s="67"/>
    </row>
    <row r="120" spans="1:13" x14ac:dyDescent="0.25">
      <c r="A120" s="42" t="s">
        <v>1024</v>
      </c>
      <c r="B120" s="28" t="s">
        <v>916</v>
      </c>
      <c r="C120" s="28" t="s">
        <v>923</v>
      </c>
      <c r="D120" s="28" t="s">
        <v>1037</v>
      </c>
      <c r="E120" s="373" t="s">
        <v>116</v>
      </c>
      <c r="F120" s="374"/>
      <c r="G120" s="88">
        <f>+ROUND(Návrh!H117,-3)/$X$2</f>
        <v>-193</v>
      </c>
      <c r="H120" s="88">
        <f>+ROUND(Návrh!I117,-3)/$X$2</f>
        <v>-166</v>
      </c>
      <c r="I120" s="88">
        <f>+ROUND(Návrh!J117,-3)/$X$2</f>
        <v>-150</v>
      </c>
      <c r="J120" s="88" t="e">
        <f>+ROUND(Návrh!#REF!,-3)/$X$2</f>
        <v>#REF!</v>
      </c>
      <c r="K120" s="88">
        <f>+ROUND(Návrh!K117,-3)/$X$2</f>
        <v>-205</v>
      </c>
      <c r="L120" s="88">
        <f>+ROUND(Návrh!L117,-3)/$X$2</f>
        <v>-200</v>
      </c>
      <c r="M120" s="67"/>
    </row>
    <row r="121" spans="1:13" x14ac:dyDescent="0.25">
      <c r="A121" s="42" t="s">
        <v>1025</v>
      </c>
      <c r="B121" s="28" t="s">
        <v>916</v>
      </c>
      <c r="C121" s="28" t="s">
        <v>923</v>
      </c>
      <c r="D121" s="28" t="s">
        <v>917</v>
      </c>
      <c r="E121" s="373" t="s">
        <v>117</v>
      </c>
      <c r="F121" s="374"/>
      <c r="G121" s="88">
        <f>+ROUND(Návrh!H118,-3)/$X$2</f>
        <v>-73</v>
      </c>
      <c r="H121" s="88">
        <f>+ROUND(Návrh!I118,-3)/$X$2</f>
        <v>-125</v>
      </c>
      <c r="I121" s="88">
        <f>+ROUND(Návrh!J118,-3)/$X$2</f>
        <v>-80</v>
      </c>
      <c r="J121" s="88" t="e">
        <f>+ROUND(Návrh!#REF!,-3)/$X$2</f>
        <v>#REF!</v>
      </c>
      <c r="K121" s="88">
        <f>+ROUND(Návrh!K118,-3)/$X$2</f>
        <v>-183</v>
      </c>
      <c r="L121" s="88">
        <f>+ROUND(Návrh!L118,-3)/$X$2</f>
        <v>-80</v>
      </c>
      <c r="M121" s="67"/>
    </row>
    <row r="122" spans="1:13" x14ac:dyDescent="0.25">
      <c r="A122" s="42" t="s">
        <v>1026</v>
      </c>
      <c r="B122" s="28" t="s">
        <v>916</v>
      </c>
      <c r="C122" s="28" t="s">
        <v>917</v>
      </c>
      <c r="D122" s="28" t="s">
        <v>917</v>
      </c>
      <c r="E122" s="373" t="s">
        <v>118</v>
      </c>
      <c r="F122" s="374"/>
      <c r="G122" s="88">
        <f>+ROUND(Návrh!H119,-3)/$X$2</f>
        <v>-3030</v>
      </c>
      <c r="H122" s="88">
        <f>+ROUND(Návrh!I119,-3)/$X$2</f>
        <v>-3244</v>
      </c>
      <c r="I122" s="88">
        <f>+ROUND(Návrh!J119,-3)/$X$2</f>
        <v>-3367</v>
      </c>
      <c r="J122" s="88" t="e">
        <f>+ROUND(Návrh!#REF!,-3)/$X$2</f>
        <v>#REF!</v>
      </c>
      <c r="K122" s="88">
        <f>+ROUND(Návrh!K119,-3)/$X$2</f>
        <v>-3091</v>
      </c>
      <c r="L122" s="88">
        <f>+ROUND(Návrh!L119,-3)/$X$2</f>
        <v>-3147</v>
      </c>
      <c r="M122" s="67"/>
    </row>
    <row r="123" spans="1:13" x14ac:dyDescent="0.25">
      <c r="A123" s="42" t="s">
        <v>1027</v>
      </c>
      <c r="B123" s="20" t="s">
        <v>1654</v>
      </c>
      <c r="C123" s="20" t="s">
        <v>919</v>
      </c>
      <c r="D123" s="20" t="s">
        <v>1655</v>
      </c>
      <c r="E123" s="373" t="s">
        <v>119</v>
      </c>
      <c r="F123" s="374"/>
      <c r="G123" s="88">
        <f>+ROUND(Návrh!H120,-3)/$X$2</f>
        <v>-2617</v>
      </c>
      <c r="H123" s="88">
        <f>+ROUND(Návrh!I120,-3)/$X$2</f>
        <v>-3060</v>
      </c>
      <c r="I123" s="88">
        <f>+ROUND(Návrh!J120,-3)/$X$2</f>
        <v>-2900</v>
      </c>
      <c r="J123" s="88" t="e">
        <f>+ROUND(Návrh!#REF!,-3)/$X$2</f>
        <v>#REF!</v>
      </c>
      <c r="K123" s="88">
        <f>+ROUND(Návrh!K120,-3)/$X$2</f>
        <v>-2132</v>
      </c>
      <c r="L123" s="88">
        <f>+ROUND(Návrh!L120,-3)/$X$2</f>
        <v>-2000</v>
      </c>
      <c r="M123" s="67"/>
    </row>
    <row r="124" spans="1:13" x14ac:dyDescent="0.25">
      <c r="A124" s="42" t="s">
        <v>1028</v>
      </c>
      <c r="B124" s="28" t="s">
        <v>916</v>
      </c>
      <c r="C124" s="28" t="s">
        <v>923</v>
      </c>
      <c r="D124" s="28" t="s">
        <v>1037</v>
      </c>
      <c r="E124" s="373" t="s">
        <v>120</v>
      </c>
      <c r="F124" s="374"/>
      <c r="G124" s="88">
        <f>+ROUND(Návrh!H121,-3)/$X$2</f>
        <v>-741</v>
      </c>
      <c r="H124" s="88">
        <f>+ROUND(Návrh!I121,-3)/$X$2</f>
        <v>-580</v>
      </c>
      <c r="I124" s="88">
        <f>+ROUND(Návrh!J121,-3)/$X$2</f>
        <v>-400</v>
      </c>
      <c r="J124" s="88" t="e">
        <f>+ROUND(Návrh!#REF!,-3)/$X$2</f>
        <v>#REF!</v>
      </c>
      <c r="K124" s="88">
        <f>+ROUND(Návrh!K121,-3)/$X$2</f>
        <v>-347</v>
      </c>
      <c r="L124" s="88">
        <f>+ROUND(Návrh!L121,-3)/$X$2</f>
        <v>-450</v>
      </c>
      <c r="M124" s="67"/>
    </row>
    <row r="125" spans="1:13" x14ac:dyDescent="0.25">
      <c r="A125" s="42" t="s">
        <v>1029</v>
      </c>
      <c r="B125" s="28" t="s">
        <v>916</v>
      </c>
      <c r="C125" s="28" t="s">
        <v>923</v>
      </c>
      <c r="D125" s="28" t="s">
        <v>1037</v>
      </c>
      <c r="E125" s="373" t="s">
        <v>121</v>
      </c>
      <c r="F125" s="374"/>
      <c r="G125" s="88">
        <f>+ROUND(Návrh!H122,-3)/$X$2</f>
        <v>-244</v>
      </c>
      <c r="H125" s="88">
        <f>+ROUND(Návrh!I122,-3)/$X$2</f>
        <v>-612</v>
      </c>
      <c r="I125" s="88">
        <f>+ROUND(Návrh!J122,-3)/$X$2</f>
        <v>-450</v>
      </c>
      <c r="J125" s="88" t="e">
        <f>+ROUND(Návrh!#REF!,-3)/$X$2</f>
        <v>#REF!</v>
      </c>
      <c r="K125" s="88">
        <f>+ROUND(Návrh!K122,-3)/$X$2</f>
        <v>-304</v>
      </c>
      <c r="L125" s="88">
        <f>+ROUND(Návrh!L122,-3)/$X$2</f>
        <v>-300</v>
      </c>
      <c r="M125" s="67"/>
    </row>
    <row r="126" spans="1:13" x14ac:dyDescent="0.25">
      <c r="A126" s="42" t="s">
        <v>1030</v>
      </c>
      <c r="B126" s="28" t="s">
        <v>916</v>
      </c>
      <c r="C126" s="28" t="s">
        <v>923</v>
      </c>
      <c r="D126" s="28" t="s">
        <v>1037</v>
      </c>
      <c r="E126" s="373" t="s">
        <v>122</v>
      </c>
      <c r="F126" s="374"/>
      <c r="G126" s="88">
        <f>+ROUND(Návrh!H123,-3)/$X$2</f>
        <v>-41</v>
      </c>
      <c r="H126" s="88">
        <f>+ROUND(Návrh!I123,-3)/$X$2</f>
        <v>-123</v>
      </c>
      <c r="I126" s="88">
        <f>+ROUND(Návrh!J123,-3)/$X$2</f>
        <v>-100</v>
      </c>
      <c r="J126" s="88" t="e">
        <f>+ROUND(Návrh!#REF!,-3)/$X$2</f>
        <v>#REF!</v>
      </c>
      <c r="K126" s="88">
        <f>+ROUND(Návrh!K123,-3)/$X$2</f>
        <v>-66</v>
      </c>
      <c r="L126" s="88">
        <f>+ROUND(Návrh!L123,-3)/$X$2</f>
        <v>-120</v>
      </c>
      <c r="M126" s="67"/>
    </row>
    <row r="127" spans="1:13" x14ac:dyDescent="0.25">
      <c r="A127" s="42" t="s">
        <v>1031</v>
      </c>
      <c r="B127" s="28" t="s">
        <v>916</v>
      </c>
      <c r="C127" s="28" t="s">
        <v>923</v>
      </c>
      <c r="D127" s="28" t="s">
        <v>1037</v>
      </c>
      <c r="E127" s="373" t="s">
        <v>123</v>
      </c>
      <c r="F127" s="374"/>
      <c r="G127" s="88">
        <f>+ROUND(Návrh!H124,-3)/$X$2</f>
        <v>-139</v>
      </c>
      <c r="H127" s="88">
        <f>+ROUND(Návrh!I124,-3)/$X$2</f>
        <v>-167</v>
      </c>
      <c r="I127" s="88">
        <f>+ROUND(Návrh!J124,-3)/$X$2</f>
        <v>-180</v>
      </c>
      <c r="J127" s="88" t="e">
        <f>+ROUND(Návrh!#REF!,-3)/$X$2</f>
        <v>#REF!</v>
      </c>
      <c r="K127" s="88">
        <f>+ROUND(Návrh!K124,-3)/$X$2</f>
        <v>-156</v>
      </c>
      <c r="L127" s="88">
        <f>+ROUND(Návrh!L124,-3)/$X$2</f>
        <v>-180</v>
      </c>
      <c r="M127" s="67"/>
    </row>
    <row r="128" spans="1:13" x14ac:dyDescent="0.25">
      <c r="A128" s="42" t="s">
        <v>1032</v>
      </c>
      <c r="B128" s="28" t="s">
        <v>916</v>
      </c>
      <c r="C128" s="28" t="s">
        <v>917</v>
      </c>
      <c r="D128" s="28" t="s">
        <v>917</v>
      </c>
      <c r="E128" s="373" t="s">
        <v>124</v>
      </c>
      <c r="F128" s="374"/>
      <c r="G128" s="88">
        <f>+ROUND(Návrh!H125,-3)/$X$2</f>
        <v>-7797</v>
      </c>
      <c r="H128" s="88">
        <f>+ROUND(Návrh!I125,-3)/$X$2</f>
        <v>-8147</v>
      </c>
      <c r="I128" s="88">
        <f>+ROUND(Návrh!J125,-3)/$X$2</f>
        <v>-8200</v>
      </c>
      <c r="J128" s="88" t="e">
        <f>+ROUND(Návrh!#REF!,-3)/$X$2</f>
        <v>#REF!</v>
      </c>
      <c r="K128" s="88">
        <f>+ROUND(Návrh!K125,-3)/$X$2</f>
        <v>-8368</v>
      </c>
      <c r="L128" s="88">
        <f>+ROUND(Návrh!L125,-3)/$X$2</f>
        <v>-8309</v>
      </c>
      <c r="M128" s="67"/>
    </row>
    <row r="129" spans="1:13" x14ac:dyDescent="0.25">
      <c r="A129" s="42" t="s">
        <v>1033</v>
      </c>
      <c r="B129" s="28" t="s">
        <v>916</v>
      </c>
      <c r="C129" s="28" t="s">
        <v>923</v>
      </c>
      <c r="D129" s="28" t="s">
        <v>1037</v>
      </c>
      <c r="E129" s="373" t="s">
        <v>125</v>
      </c>
      <c r="F129" s="374"/>
      <c r="G129" s="88">
        <f>+ROUND(Návrh!H126,-3)/$X$2</f>
        <v>-1389</v>
      </c>
      <c r="H129" s="88">
        <f>+ROUND(Návrh!I126,-3)/$X$2</f>
        <v>-1441</v>
      </c>
      <c r="I129" s="88">
        <f>+ROUND(Návrh!J126,-3)/$X$2</f>
        <v>-1480</v>
      </c>
      <c r="J129" s="88" t="e">
        <f>+ROUND(Návrh!#REF!,-3)/$X$2</f>
        <v>#REF!</v>
      </c>
      <c r="K129" s="88">
        <f>+ROUND(Návrh!K126,-3)/$X$2</f>
        <v>-1676</v>
      </c>
      <c r="L129" s="88">
        <f>+ROUND(Návrh!L126,-3)/$X$2</f>
        <v>-1620</v>
      </c>
      <c r="M129" s="67"/>
    </row>
    <row r="130" spans="1:13" x14ac:dyDescent="0.25">
      <c r="A130" s="42" t="s">
        <v>1034</v>
      </c>
      <c r="B130" s="28" t="s">
        <v>916</v>
      </c>
      <c r="C130" s="28" t="s">
        <v>923</v>
      </c>
      <c r="D130" s="28" t="s">
        <v>1037</v>
      </c>
      <c r="E130" s="359" t="s">
        <v>1677</v>
      </c>
      <c r="F130" s="360"/>
      <c r="G130" s="88">
        <f>+ROUND(Návrh!H127,-3)/$X$2</f>
        <v>-1</v>
      </c>
      <c r="H130" s="88">
        <f>+ROUND(Návrh!I127,-3)/$X$2</f>
        <v>-2</v>
      </c>
      <c r="I130" s="88">
        <f>+ROUND(Návrh!J127,-3)/$X$2</f>
        <v>-5</v>
      </c>
      <c r="J130" s="88" t="e">
        <f>+ROUND(Návrh!#REF!,-3)/$X$2</f>
        <v>#REF!</v>
      </c>
      <c r="K130" s="88">
        <f>+ROUND(Návrh!K127,-3)/$X$2</f>
        <v>-4</v>
      </c>
      <c r="L130" s="88">
        <f>+ROUND(Návrh!L127,-3)/$X$2</f>
        <v>-5</v>
      </c>
      <c r="M130" s="67"/>
    </row>
    <row r="131" spans="1:13" x14ac:dyDescent="0.25">
      <c r="A131" s="42" t="s">
        <v>1035</v>
      </c>
      <c r="B131" s="28"/>
      <c r="C131" s="28"/>
      <c r="D131" s="28"/>
      <c r="E131" s="373" t="s">
        <v>126</v>
      </c>
      <c r="F131" s="374"/>
      <c r="G131" s="88">
        <f>+ROUND(Návrh!H128,-3)/$X$2</f>
        <v>-1</v>
      </c>
      <c r="H131" s="88">
        <f>+ROUND(Návrh!I128,-3)/$X$2</f>
        <v>-1</v>
      </c>
      <c r="I131" s="88">
        <f>+ROUND(Návrh!J128,-3)/$X$2</f>
        <v>0</v>
      </c>
      <c r="J131" s="88" t="e">
        <f>+ROUND(Návrh!#REF!,-3)/$X$2</f>
        <v>#REF!</v>
      </c>
      <c r="K131" s="88">
        <f>+ROUND(Návrh!K128,-3)/$X$2</f>
        <v>-1</v>
      </c>
      <c r="L131" s="88">
        <f>+ROUND(Návrh!L128,-3)/$X$2</f>
        <v>0</v>
      </c>
      <c r="M131" s="67"/>
    </row>
    <row r="132" spans="1:13" x14ac:dyDescent="0.25">
      <c r="A132" s="26" t="s">
        <v>1038</v>
      </c>
      <c r="B132" s="26"/>
      <c r="C132" s="23"/>
      <c r="D132" s="23"/>
      <c r="E132" s="379" t="s">
        <v>127</v>
      </c>
      <c r="F132" s="380"/>
      <c r="G132" s="92">
        <f>+ROUND(Návrh!H129,-3)/$X$2</f>
        <v>-13354</v>
      </c>
      <c r="H132" s="92">
        <f>+ROUND(Návrh!I129,-3)/$X$2</f>
        <v>-12971</v>
      </c>
      <c r="I132" s="92">
        <f>+ROUND(Návrh!J129,-3)/$X$2</f>
        <v>-12706</v>
      </c>
      <c r="J132" s="92" t="e">
        <f>+ROUND(Návrh!#REF!,-3)/$X$2</f>
        <v>#REF!</v>
      </c>
      <c r="K132" s="92">
        <f>+ROUND(Návrh!K129,-3)/$X$2</f>
        <v>-11619</v>
      </c>
      <c r="L132" s="92">
        <f>+ROUND(Návrh!L129,-3)/$X$2</f>
        <v>-13454</v>
      </c>
      <c r="M132" s="67"/>
    </row>
    <row r="133" spans="1:13" x14ac:dyDescent="0.25">
      <c r="A133" s="42" t="s">
        <v>1039</v>
      </c>
      <c r="B133" s="28" t="s">
        <v>916</v>
      </c>
      <c r="C133" s="28" t="s">
        <v>923</v>
      </c>
      <c r="D133" s="28" t="s">
        <v>1037</v>
      </c>
      <c r="E133" s="373" t="s">
        <v>128</v>
      </c>
      <c r="F133" s="374"/>
      <c r="G133" s="88">
        <f>+ROUND(Návrh!H130,-3)/$X$2</f>
        <v>-226</v>
      </c>
      <c r="H133" s="88">
        <f>+ROUND(Návrh!I130,-3)/$X$2</f>
        <v>-170</v>
      </c>
      <c r="I133" s="88">
        <f>+ROUND(Návrh!J130,-3)/$X$2</f>
        <v>-140</v>
      </c>
      <c r="J133" s="88" t="e">
        <f>+ROUND(Návrh!#REF!,-3)/$X$2</f>
        <v>#REF!</v>
      </c>
      <c r="K133" s="88">
        <f>+ROUND(Návrh!K130,-3)/$X$2</f>
        <v>-245</v>
      </c>
      <c r="L133" s="88">
        <f>+ROUND(Návrh!L130,-3)/$X$2</f>
        <v>0</v>
      </c>
      <c r="M133" s="67"/>
    </row>
    <row r="134" spans="1:13" x14ac:dyDescent="0.25">
      <c r="A134" s="42" t="s">
        <v>1040</v>
      </c>
      <c r="B134" s="28" t="s">
        <v>916</v>
      </c>
      <c r="C134" s="28" t="s">
        <v>923</v>
      </c>
      <c r="D134" s="28" t="s">
        <v>917</v>
      </c>
      <c r="E134" s="373" t="s">
        <v>129</v>
      </c>
      <c r="F134" s="374"/>
      <c r="G134" s="88">
        <f>+ROUND(Návrh!H131,-3)/$X$2</f>
        <v>-816</v>
      </c>
      <c r="H134" s="88">
        <f>+ROUND(Návrh!I131,-3)/$X$2</f>
        <v>-937</v>
      </c>
      <c r="I134" s="88">
        <f>+ROUND(Návrh!J131,-3)/$X$2</f>
        <v>-800</v>
      </c>
      <c r="J134" s="88" t="e">
        <f>+ROUND(Návrh!#REF!,-3)/$X$2</f>
        <v>#REF!</v>
      </c>
      <c r="K134" s="88">
        <f>+ROUND(Návrh!K131,-3)/$X$2</f>
        <v>-901</v>
      </c>
      <c r="L134" s="88">
        <f>+ROUND(Návrh!L131,-3)/$X$2</f>
        <v>-850</v>
      </c>
      <c r="M134" s="67"/>
    </row>
    <row r="135" spans="1:13" x14ac:dyDescent="0.25">
      <c r="A135" s="42" t="s">
        <v>1041</v>
      </c>
      <c r="B135" s="20" t="s">
        <v>916</v>
      </c>
      <c r="C135" s="20" t="s">
        <v>920</v>
      </c>
      <c r="D135" s="20" t="s">
        <v>1053</v>
      </c>
      <c r="E135" s="373" t="s">
        <v>130</v>
      </c>
      <c r="F135" s="374"/>
      <c r="G135" s="88">
        <f>+ROUND(Návrh!H132,-3)/$X$2</f>
        <v>-1237</v>
      </c>
      <c r="H135" s="88">
        <f>+ROUND(Návrh!I132,-3)/$X$2</f>
        <v>-1021</v>
      </c>
      <c r="I135" s="88">
        <f>+ROUND(Návrh!J132,-3)/$X$2</f>
        <v>-300</v>
      </c>
      <c r="J135" s="88" t="e">
        <f>+ROUND(Návrh!#REF!,-3)/$X$2</f>
        <v>#REF!</v>
      </c>
      <c r="K135" s="88">
        <f>+ROUND(Návrh!K132,-3)/$X$2</f>
        <v>-1107</v>
      </c>
      <c r="L135" s="88">
        <f>+ROUND(Návrh!L132,-3)/$X$2</f>
        <v>-100</v>
      </c>
      <c r="M135" s="67"/>
    </row>
    <row r="136" spans="1:13" x14ac:dyDescent="0.25">
      <c r="A136" s="42" t="s">
        <v>1042</v>
      </c>
      <c r="B136" s="20" t="s">
        <v>916</v>
      </c>
      <c r="C136" s="20" t="s">
        <v>920</v>
      </c>
      <c r="D136" s="20" t="s">
        <v>1053</v>
      </c>
      <c r="E136" s="373" t="s">
        <v>131</v>
      </c>
      <c r="F136" s="374"/>
      <c r="G136" s="88">
        <f>+ROUND(Návrh!H133,-3)/$X$2</f>
        <v>-8856</v>
      </c>
      <c r="H136" s="88">
        <f>+ROUND(Návrh!I133,-3)/$X$2</f>
        <v>-7500</v>
      </c>
      <c r="I136" s="88">
        <f>+ROUND(Návrh!J133,-3)/$X$2</f>
        <v>-7100</v>
      </c>
      <c r="J136" s="88" t="e">
        <f>+ROUND(Návrh!#REF!,-3)/$X$2</f>
        <v>#REF!</v>
      </c>
      <c r="K136" s="88">
        <f>+ROUND(Návrh!K133,-3)/$X$2</f>
        <v>-7551</v>
      </c>
      <c r="L136" s="88">
        <f>+ROUND(Návrh!L133,-3)/$X$2</f>
        <v>-7600</v>
      </c>
      <c r="M136" s="67"/>
    </row>
    <row r="137" spans="1:13" x14ac:dyDescent="0.25">
      <c r="A137" s="42" t="s">
        <v>1043</v>
      </c>
      <c r="B137" s="20" t="s">
        <v>1654</v>
      </c>
      <c r="C137" s="20" t="s">
        <v>919</v>
      </c>
      <c r="D137" s="20" t="s">
        <v>1655</v>
      </c>
      <c r="E137" s="373" t="s">
        <v>132</v>
      </c>
      <c r="F137" s="374"/>
      <c r="G137" s="88">
        <f>+ROUND(Návrh!H134,-3)/$X$2</f>
        <v>-1279</v>
      </c>
      <c r="H137" s="88">
        <f>+ROUND(Návrh!I134,-3)/$X$2</f>
        <v>-2216</v>
      </c>
      <c r="I137" s="88">
        <f>+ROUND(Návrh!J134,-3)/$X$2</f>
        <v>-2616</v>
      </c>
      <c r="J137" s="88" t="e">
        <f>+ROUND(Návrh!#REF!,-3)/$X$2</f>
        <v>#REF!</v>
      </c>
      <c r="K137" s="88">
        <f>+ROUND(Návrh!K134,-3)/$X$2</f>
        <v>-591</v>
      </c>
      <c r="L137" s="88">
        <f>+ROUND(Návrh!L134,-3)/$X$2</f>
        <v>-2754</v>
      </c>
      <c r="M137" s="67"/>
    </row>
    <row r="138" spans="1:13" x14ac:dyDescent="0.25">
      <c r="A138" s="42" t="s">
        <v>1044</v>
      </c>
      <c r="B138" s="20" t="s">
        <v>916</v>
      </c>
      <c r="C138" s="20" t="s">
        <v>923</v>
      </c>
      <c r="D138" s="20" t="s">
        <v>1648</v>
      </c>
      <c r="E138" s="373" t="s">
        <v>133</v>
      </c>
      <c r="F138" s="374"/>
      <c r="G138" s="88">
        <f>+ROUND(Návrh!H135,-3)/$X$2</f>
        <v>-505</v>
      </c>
      <c r="H138" s="88">
        <f>+ROUND(Návrh!I135,-3)/$X$2</f>
        <v>-634</v>
      </c>
      <c r="I138" s="88">
        <f>+ROUND(Návrh!J135,-3)/$X$2</f>
        <v>-600</v>
      </c>
      <c r="J138" s="88" t="e">
        <f>+ROUND(Návrh!#REF!,-3)/$X$2</f>
        <v>#REF!</v>
      </c>
      <c r="K138" s="88">
        <f>+ROUND(Návrh!K135,-3)/$X$2</f>
        <v>-698</v>
      </c>
      <c r="L138" s="88">
        <f>+ROUND(Návrh!L135,-3)/$X$2</f>
        <v>-700</v>
      </c>
      <c r="M138" s="67"/>
    </row>
    <row r="139" spans="1:13" x14ac:dyDescent="0.25">
      <c r="A139" s="42" t="s">
        <v>1045</v>
      </c>
      <c r="B139" s="20" t="s">
        <v>916</v>
      </c>
      <c r="C139" s="20" t="s">
        <v>919</v>
      </c>
      <c r="D139" s="20" t="s">
        <v>918</v>
      </c>
      <c r="E139" s="373" t="s">
        <v>134</v>
      </c>
      <c r="F139" s="374"/>
      <c r="G139" s="88">
        <f>+ROUND(Návrh!H136,-3)/$X$2</f>
        <v>-435</v>
      </c>
      <c r="H139" s="88">
        <f>+ROUND(Návrh!I136,-3)/$X$2</f>
        <v>-492</v>
      </c>
      <c r="I139" s="88">
        <f>+ROUND(Návrh!J136,-3)/$X$2</f>
        <v>-450</v>
      </c>
      <c r="J139" s="88" t="e">
        <f>+ROUND(Návrh!#REF!,-3)/$X$2</f>
        <v>#REF!</v>
      </c>
      <c r="K139" s="88">
        <f>+ROUND(Návrh!K136,-3)/$X$2</f>
        <v>-458</v>
      </c>
      <c r="L139" s="88">
        <f>+ROUND(Návrh!L136,-3)/$X$2</f>
        <v>-550</v>
      </c>
      <c r="M139" s="67"/>
    </row>
    <row r="140" spans="1:13" x14ac:dyDescent="0.25">
      <c r="A140" s="42" t="s">
        <v>1046</v>
      </c>
      <c r="B140" s="20" t="s">
        <v>916</v>
      </c>
      <c r="C140" s="20" t="s">
        <v>919</v>
      </c>
      <c r="D140" s="20" t="s">
        <v>1649</v>
      </c>
      <c r="E140" s="359" t="s">
        <v>1678</v>
      </c>
      <c r="F140" s="360"/>
      <c r="G140" s="88">
        <f>+ROUND(Návrh!H137,-3)/$X$2</f>
        <v>0</v>
      </c>
      <c r="H140" s="88">
        <f>+ROUND(Návrh!I137,-3)/$X$2</f>
        <v>0</v>
      </c>
      <c r="I140" s="88">
        <f>+ROUND(Návrh!J137,-3)/$X$2</f>
        <v>-700</v>
      </c>
      <c r="J140" s="88" t="e">
        <f>+ROUND(Návrh!#REF!,-3)/$X$2</f>
        <v>#REF!</v>
      </c>
      <c r="K140" s="88">
        <f>+ROUND(Návrh!K137,-3)/$X$2</f>
        <v>-67</v>
      </c>
      <c r="L140" s="88">
        <f>+ROUND(Návrh!L137,-3)/$X$2</f>
        <v>-900</v>
      </c>
      <c r="M140" s="67"/>
    </row>
    <row r="141" spans="1:13" x14ac:dyDescent="0.25">
      <c r="A141" s="42" t="s">
        <v>1047</v>
      </c>
      <c r="B141" s="20"/>
      <c r="C141" s="20"/>
      <c r="D141" s="20"/>
      <c r="E141" s="373" t="s">
        <v>135</v>
      </c>
      <c r="F141" s="374"/>
      <c r="G141" s="88">
        <f>+ROUND(Návrh!H138,-3)/$X$2</f>
        <v>0</v>
      </c>
      <c r="H141" s="88">
        <f>+ROUND(Návrh!I138,-3)/$X$2</f>
        <v>-2</v>
      </c>
      <c r="I141" s="88">
        <f>+ROUND(Návrh!J138,-3)/$X$2</f>
        <v>0</v>
      </c>
      <c r="J141" s="88" t="e">
        <f>+ROUND(Návrh!#REF!,-3)/$X$2</f>
        <v>#REF!</v>
      </c>
      <c r="K141" s="88">
        <f>+ROUND(Návrh!K138,-3)/$X$2</f>
        <v>0</v>
      </c>
      <c r="L141" s="88">
        <f>+ROUND(Návrh!L138,-3)/$X$2</f>
        <v>0</v>
      </c>
      <c r="M141" s="67"/>
    </row>
    <row r="142" spans="1:13" x14ac:dyDescent="0.25">
      <c r="A142" s="26" t="s">
        <v>1048</v>
      </c>
      <c r="B142" s="26"/>
      <c r="C142" s="23"/>
      <c r="D142" s="23"/>
      <c r="E142" s="379" t="s">
        <v>136</v>
      </c>
      <c r="F142" s="380"/>
      <c r="G142" s="92">
        <f>+ROUND(Návrh!H139,-3)/$X$2</f>
        <v>-30328</v>
      </c>
      <c r="H142" s="92">
        <f>+ROUND(Návrh!I139,-3)/$X$2</f>
        <v>-33000</v>
      </c>
      <c r="I142" s="92">
        <f>+ROUND(Návrh!J139,-3)/$X$2</f>
        <v>-32113</v>
      </c>
      <c r="J142" s="92" t="e">
        <f>+ROUND(Návrh!#REF!,-3)/$X$2</f>
        <v>#REF!</v>
      </c>
      <c r="K142" s="92">
        <f>+ROUND(Návrh!K139,-3)/$X$2</f>
        <v>-29514</v>
      </c>
      <c r="L142" s="92">
        <f>+ROUND(Návrh!L139,-3)/$X$2</f>
        <v>-28850</v>
      </c>
      <c r="M142" s="67"/>
    </row>
    <row r="143" spans="1:13" x14ac:dyDescent="0.25">
      <c r="A143" s="42" t="s">
        <v>1049</v>
      </c>
      <c r="B143" s="33"/>
      <c r="C143" s="33"/>
      <c r="D143" s="33"/>
      <c r="E143" s="373" t="s">
        <v>137</v>
      </c>
      <c r="F143" s="374"/>
      <c r="G143" s="88">
        <f>+ROUND(Návrh!H140,-3)/$X$2</f>
        <v>-3239</v>
      </c>
      <c r="H143" s="88">
        <f>+ROUND(Návrh!I140,-3)/$X$2</f>
        <v>-1490</v>
      </c>
      <c r="I143" s="88">
        <f>+ROUND(Návrh!J140,-3)/$X$2</f>
        <v>-2000</v>
      </c>
      <c r="J143" s="88" t="e">
        <f>+ROUND(Návrh!#REF!,-3)/$X$2</f>
        <v>#REF!</v>
      </c>
      <c r="K143" s="88">
        <f>+ROUND(Návrh!K140,-3)/$X$2</f>
        <v>-294</v>
      </c>
      <c r="L143" s="88">
        <f>+ROUND(Návrh!L140,-3)/$X$2</f>
        <v>-400</v>
      </c>
      <c r="M143" s="67"/>
    </row>
    <row r="144" spans="1:13" x14ac:dyDescent="0.25">
      <c r="A144" s="42" t="s">
        <v>1050</v>
      </c>
      <c r="B144" s="20"/>
      <c r="C144" s="33"/>
      <c r="D144" s="33"/>
      <c r="E144" s="373" t="s">
        <v>138</v>
      </c>
      <c r="F144" s="374"/>
      <c r="G144" s="88">
        <f>+ROUND(Návrh!H141,-3)/$X$2</f>
        <v>-1</v>
      </c>
      <c r="H144" s="88">
        <f>+ROUND(Návrh!I141,-3)/$X$2</f>
        <v>0</v>
      </c>
      <c r="I144" s="88">
        <f>+ROUND(Návrh!J141,-3)/$X$2</f>
        <v>0</v>
      </c>
      <c r="J144" s="88" t="e">
        <f>+ROUND(Návrh!#REF!,-3)/$X$2</f>
        <v>#REF!</v>
      </c>
      <c r="K144" s="88">
        <f>+ROUND(Návrh!K141,-3)/$X$2</f>
        <v>-32</v>
      </c>
      <c r="L144" s="88">
        <f>+ROUND(Návrh!L141,-3)/$X$2</f>
        <v>0</v>
      </c>
      <c r="M144" s="67"/>
    </row>
    <row r="145" spans="1:13" x14ac:dyDescent="0.25">
      <c r="A145" s="42" t="s">
        <v>1051</v>
      </c>
      <c r="B145" s="28" t="s">
        <v>916</v>
      </c>
      <c r="C145" s="28" t="s">
        <v>923</v>
      </c>
      <c r="D145" s="28" t="s">
        <v>1037</v>
      </c>
      <c r="E145" s="373" t="s">
        <v>139</v>
      </c>
      <c r="F145" s="374"/>
      <c r="G145" s="88">
        <f>+ROUND(Návrh!H142,-3)/$X$2</f>
        <v>-2593</v>
      </c>
      <c r="H145" s="88">
        <f>+ROUND(Návrh!I142,-3)/$X$2</f>
        <v>-3654</v>
      </c>
      <c r="I145" s="88">
        <f>+ROUND(Návrh!J142,-3)/$X$2</f>
        <v>-2900</v>
      </c>
      <c r="J145" s="88" t="e">
        <f>+ROUND(Návrh!#REF!,-3)/$X$2</f>
        <v>#REF!</v>
      </c>
      <c r="K145" s="88">
        <f>+ROUND(Návrh!K142,-3)/$X$2</f>
        <v>-2165</v>
      </c>
      <c r="L145" s="88">
        <f>+ROUND(Návrh!L142,-3)/$X$2</f>
        <v>-1000</v>
      </c>
      <c r="M145" s="67"/>
    </row>
    <row r="146" spans="1:13" x14ac:dyDescent="0.25">
      <c r="A146" s="42" t="s">
        <v>1052</v>
      </c>
      <c r="B146" s="28" t="s">
        <v>916</v>
      </c>
      <c r="C146" s="28" t="s">
        <v>923</v>
      </c>
      <c r="D146" s="28" t="s">
        <v>1037</v>
      </c>
      <c r="E146" s="373" t="s">
        <v>140</v>
      </c>
      <c r="F146" s="374"/>
      <c r="G146" s="88">
        <f>+ROUND(Návrh!H143,-3)/$X$2</f>
        <v>-94</v>
      </c>
      <c r="H146" s="88">
        <f>+ROUND(Návrh!I143,-3)/$X$2</f>
        <v>-66</v>
      </c>
      <c r="I146" s="88">
        <f>+ROUND(Návrh!J143,-3)/$X$2</f>
        <v>-64</v>
      </c>
      <c r="J146" s="88" t="e">
        <f>+ROUND(Návrh!#REF!,-3)/$X$2</f>
        <v>#REF!</v>
      </c>
      <c r="K146" s="88">
        <f>+ROUND(Návrh!K143,-3)/$X$2</f>
        <v>-145</v>
      </c>
      <c r="L146" s="88">
        <f>+ROUND(Návrh!L143,-3)/$X$2</f>
        <v>-125</v>
      </c>
      <c r="M146" s="67"/>
    </row>
    <row r="147" spans="1:13" x14ac:dyDescent="0.25">
      <c r="A147" s="42" t="s">
        <v>1054</v>
      </c>
      <c r="B147" s="28" t="s">
        <v>916</v>
      </c>
      <c r="C147" s="28" t="s">
        <v>923</v>
      </c>
      <c r="D147" s="28" t="s">
        <v>1037</v>
      </c>
      <c r="E147" s="373" t="s">
        <v>141</v>
      </c>
      <c r="F147" s="374"/>
      <c r="G147" s="88">
        <f>+ROUND(Návrh!H144,-3)/$X$2</f>
        <v>-191</v>
      </c>
      <c r="H147" s="88">
        <f>+ROUND(Návrh!I144,-3)/$X$2</f>
        <v>-2203</v>
      </c>
      <c r="I147" s="88">
        <f>+ROUND(Návrh!J144,-3)/$X$2</f>
        <v>-1524</v>
      </c>
      <c r="J147" s="88" t="e">
        <f>+ROUND(Návrh!#REF!,-3)/$X$2</f>
        <v>#REF!</v>
      </c>
      <c r="K147" s="88">
        <f>+ROUND(Návrh!K144,-3)/$X$2</f>
        <v>-439</v>
      </c>
      <c r="L147" s="88">
        <f>+ROUND(Návrh!L144,-3)/$X$2</f>
        <v>-250</v>
      </c>
      <c r="M147" s="67"/>
    </row>
    <row r="148" spans="1:13" x14ac:dyDescent="0.25">
      <c r="A148" s="42" t="s">
        <v>1055</v>
      </c>
      <c r="B148" s="14"/>
      <c r="C148" s="13"/>
      <c r="D148" s="13"/>
      <c r="E148" s="373" t="s">
        <v>142</v>
      </c>
      <c r="F148" s="374"/>
      <c r="G148" s="88">
        <f>+ROUND(Návrh!H145,-3)/$X$2</f>
        <v>1</v>
      </c>
      <c r="H148" s="88">
        <f>+ROUND(Návrh!I145,-3)/$X$2</f>
        <v>12</v>
      </c>
      <c r="I148" s="88">
        <f>+ROUND(Návrh!J145,-3)/$X$2</f>
        <v>0</v>
      </c>
      <c r="J148" s="88" t="e">
        <f>+ROUND(Návrh!#REF!,-3)/$X$2</f>
        <v>#REF!</v>
      </c>
      <c r="K148" s="88">
        <f>+ROUND(Návrh!K145,-3)/$X$2</f>
        <v>18</v>
      </c>
      <c r="L148" s="88">
        <f>+ROUND(Návrh!L145,-3)/$X$2</f>
        <v>0</v>
      </c>
      <c r="M148" s="67"/>
    </row>
    <row r="149" spans="1:13" x14ac:dyDescent="0.25">
      <c r="A149" s="42" t="s">
        <v>1056</v>
      </c>
      <c r="B149" s="28" t="s">
        <v>916</v>
      </c>
      <c r="C149" s="28" t="s">
        <v>917</v>
      </c>
      <c r="D149" s="28" t="s">
        <v>917</v>
      </c>
      <c r="E149" s="373" t="s">
        <v>143</v>
      </c>
      <c r="F149" s="374"/>
      <c r="G149" s="88">
        <f>+ROUND(Návrh!H146,-3)/$X$2</f>
        <v>-6199</v>
      </c>
      <c r="H149" s="88">
        <f>+ROUND(Návrh!I146,-3)/$X$2</f>
        <v>-6752</v>
      </c>
      <c r="I149" s="88">
        <f>+ROUND(Návrh!J146,-3)/$X$2</f>
        <v>-6649</v>
      </c>
      <c r="J149" s="88" t="e">
        <f>+ROUND(Návrh!#REF!,-3)/$X$2</f>
        <v>#REF!</v>
      </c>
      <c r="K149" s="88">
        <f>+ROUND(Návrh!K146,-3)/$X$2</f>
        <v>-6626</v>
      </c>
      <c r="L149" s="88">
        <f>+ROUND(Návrh!L146,-3)/$X$2</f>
        <v>-6905</v>
      </c>
      <c r="M149" s="67"/>
    </row>
    <row r="150" spans="1:13" x14ac:dyDescent="0.25">
      <c r="A150" s="42" t="s">
        <v>1057</v>
      </c>
      <c r="B150" s="28" t="s">
        <v>916</v>
      </c>
      <c r="C150" s="28" t="s">
        <v>917</v>
      </c>
      <c r="D150" s="28" t="s">
        <v>917</v>
      </c>
      <c r="E150" s="373" t="s">
        <v>144</v>
      </c>
      <c r="F150" s="374"/>
      <c r="G150" s="88">
        <f>+ROUND(Návrh!H147,-3)/$X$2</f>
        <v>-12779</v>
      </c>
      <c r="H150" s="88">
        <f>+ROUND(Návrh!I147,-3)/$X$2</f>
        <v>-13075</v>
      </c>
      <c r="I150" s="88">
        <f>+ROUND(Návrh!J147,-3)/$X$2</f>
        <v>-13152</v>
      </c>
      <c r="J150" s="88" t="e">
        <f>+ROUND(Návrh!#REF!,-3)/$X$2</f>
        <v>#REF!</v>
      </c>
      <c r="K150" s="88">
        <f>+ROUND(Návrh!K147,-3)/$X$2</f>
        <v>-13877</v>
      </c>
      <c r="L150" s="88">
        <f>+ROUND(Návrh!L147,-3)/$X$2</f>
        <v>-14251</v>
      </c>
      <c r="M150" s="67"/>
    </row>
    <row r="151" spans="1:13" x14ac:dyDescent="0.25">
      <c r="A151" s="42" t="s">
        <v>1058</v>
      </c>
      <c r="B151" s="28" t="s">
        <v>916</v>
      </c>
      <c r="C151" s="28" t="s">
        <v>917</v>
      </c>
      <c r="D151" s="28" t="s">
        <v>917</v>
      </c>
      <c r="E151" s="373" t="s">
        <v>145</v>
      </c>
      <c r="F151" s="374"/>
      <c r="G151" s="88">
        <f>+ROUND(Návrh!H148,-3)/$X$2</f>
        <v>-5233</v>
      </c>
      <c r="H151" s="88">
        <f>+ROUND(Návrh!I148,-3)/$X$2</f>
        <v>-5772</v>
      </c>
      <c r="I151" s="88">
        <f>+ROUND(Návrh!J148,-3)/$X$2</f>
        <v>-5824</v>
      </c>
      <c r="J151" s="88" t="e">
        <f>+ROUND(Návrh!#REF!,-3)/$X$2</f>
        <v>#REF!</v>
      </c>
      <c r="K151" s="88">
        <f>+ROUND(Návrh!K148,-3)/$X$2</f>
        <v>-5955</v>
      </c>
      <c r="L151" s="88">
        <f>+ROUND(Návrh!L148,-3)/$X$2</f>
        <v>-5919</v>
      </c>
      <c r="M151" s="67"/>
    </row>
    <row r="152" spans="1:13" x14ac:dyDescent="0.25">
      <c r="A152" s="26" t="s">
        <v>1059</v>
      </c>
      <c r="B152" s="26"/>
      <c r="C152" s="23"/>
      <c r="D152" s="23"/>
      <c r="E152" s="379" t="s">
        <v>146</v>
      </c>
      <c r="F152" s="380"/>
      <c r="G152" s="92">
        <f>+ROUND(Návrh!H149,-3)/$X$2</f>
        <v>-99</v>
      </c>
      <c r="H152" s="92">
        <f>+ROUND(Návrh!I149,-3)/$X$2</f>
        <v>-120</v>
      </c>
      <c r="I152" s="92">
        <f>+ROUND(Návrh!J149,-3)/$X$2</f>
        <v>-100</v>
      </c>
      <c r="J152" s="92" t="e">
        <f>+ROUND(Návrh!#REF!,-3)/$X$2</f>
        <v>#REF!</v>
      </c>
      <c r="K152" s="92">
        <f>+ROUND(Návrh!K149,-3)/$X$2</f>
        <v>-169</v>
      </c>
      <c r="L152" s="92">
        <f>+ROUND(Návrh!L149,-3)/$X$2</f>
        <v>-125</v>
      </c>
      <c r="M152" s="67"/>
    </row>
    <row r="153" spans="1:13" x14ac:dyDescent="0.25">
      <c r="A153" s="42" t="s">
        <v>1060</v>
      </c>
      <c r="B153" s="20" t="s">
        <v>916</v>
      </c>
      <c r="C153" s="20" t="s">
        <v>919</v>
      </c>
      <c r="D153" s="20" t="s">
        <v>917</v>
      </c>
      <c r="E153" s="373" t="s">
        <v>147</v>
      </c>
      <c r="F153" s="374"/>
      <c r="G153" s="88">
        <f>+ROUND(Návrh!H150,-3)/$X$2</f>
        <v>-99</v>
      </c>
      <c r="H153" s="88">
        <f>+ROUND(Návrh!I150,-3)/$X$2</f>
        <v>-120</v>
      </c>
      <c r="I153" s="88">
        <f>+ROUND(Návrh!J150,-3)/$X$2</f>
        <v>-100</v>
      </c>
      <c r="J153" s="88" t="e">
        <f>+ROUND(Návrh!#REF!,-3)/$X$2</f>
        <v>#REF!</v>
      </c>
      <c r="K153" s="88">
        <f>+ROUND(Návrh!K150,-3)/$X$2</f>
        <v>-169</v>
      </c>
      <c r="L153" s="88">
        <f>+ROUND(Návrh!L150,-3)/$X$2</f>
        <v>-125</v>
      </c>
      <c r="M153" s="67"/>
    </row>
    <row r="154" spans="1:13" x14ac:dyDescent="0.25">
      <c r="A154" s="26" t="s">
        <v>1061</v>
      </c>
      <c r="B154" s="26"/>
      <c r="C154" s="23"/>
      <c r="D154" s="23"/>
      <c r="E154" s="379" t="s">
        <v>148</v>
      </c>
      <c r="F154" s="380"/>
      <c r="G154" s="92">
        <f>+ROUND(Návrh!H151,-3)/$X$2</f>
        <v>-1920</v>
      </c>
      <c r="H154" s="92">
        <f>+ROUND(Návrh!I151,-3)/$X$2</f>
        <v>-1776</v>
      </c>
      <c r="I154" s="92">
        <f>+ROUND(Návrh!J151,-3)/$X$2</f>
        <v>-1500</v>
      </c>
      <c r="J154" s="92" t="e">
        <f>+ROUND(Návrh!#REF!,-3)/$X$2</f>
        <v>#REF!</v>
      </c>
      <c r="K154" s="92">
        <f>+ROUND(Návrh!K151,-3)/$X$2</f>
        <v>-2438</v>
      </c>
      <c r="L154" s="92">
        <f>+ROUND(Návrh!L151,-3)/$X$2</f>
        <v>-2000</v>
      </c>
      <c r="M154" s="67"/>
    </row>
    <row r="155" spans="1:13" x14ac:dyDescent="0.25">
      <c r="A155" s="42" t="s">
        <v>1062</v>
      </c>
      <c r="B155" s="27" t="s">
        <v>916</v>
      </c>
      <c r="C155" s="28" t="s">
        <v>920</v>
      </c>
      <c r="D155" s="28" t="s">
        <v>917</v>
      </c>
      <c r="E155" s="373" t="s">
        <v>149</v>
      </c>
      <c r="F155" s="374"/>
      <c r="G155" s="88">
        <f>+ROUND(Návrh!H152,-3)/$X$2</f>
        <v>-1384</v>
      </c>
      <c r="H155" s="88">
        <f>+ROUND(Návrh!I152,-3)/$X$2</f>
        <v>-563</v>
      </c>
      <c r="I155" s="88">
        <f>+ROUND(Návrh!J152,-3)/$X$2</f>
        <v>-500</v>
      </c>
      <c r="J155" s="88" t="e">
        <f>+ROUND(Návrh!#REF!,-3)/$X$2</f>
        <v>#REF!</v>
      </c>
      <c r="K155" s="88">
        <f>+ROUND(Návrh!K152,-3)/$X$2</f>
        <v>-475</v>
      </c>
      <c r="L155" s="88">
        <f>+ROUND(Návrh!L152,-3)/$X$2</f>
        <v>-500</v>
      </c>
      <c r="M155" s="67"/>
    </row>
    <row r="156" spans="1:13" x14ac:dyDescent="0.25">
      <c r="A156" s="42" t="s">
        <v>1063</v>
      </c>
      <c r="B156" s="27" t="s">
        <v>916</v>
      </c>
      <c r="C156" s="28" t="s">
        <v>920</v>
      </c>
      <c r="D156" s="28" t="s">
        <v>917</v>
      </c>
      <c r="E156" s="373" t="s">
        <v>150</v>
      </c>
      <c r="F156" s="374"/>
      <c r="G156" s="88">
        <f>+ROUND(Návrh!H153,-3)/$X$2</f>
        <v>-536</v>
      </c>
      <c r="H156" s="88">
        <f>+ROUND(Návrh!I153,-3)/$X$2</f>
        <v>-1213</v>
      </c>
      <c r="I156" s="88">
        <f>+ROUND(Návrh!J153,-3)/$X$2</f>
        <v>-1000</v>
      </c>
      <c r="J156" s="88" t="e">
        <f>+ROUND(Návrh!#REF!,-3)/$X$2</f>
        <v>#REF!</v>
      </c>
      <c r="K156" s="88">
        <f>+ROUND(Návrh!K153,-3)/$X$2</f>
        <v>-1961</v>
      </c>
      <c r="L156" s="88">
        <f>+ROUND(Návrh!L153,-3)/$X$2</f>
        <v>-1500</v>
      </c>
      <c r="M156" s="67"/>
    </row>
    <row r="157" spans="1:13" x14ac:dyDescent="0.25">
      <c r="A157" s="42" t="s">
        <v>1064</v>
      </c>
      <c r="B157" s="27"/>
      <c r="C157" s="28"/>
      <c r="D157" s="28"/>
      <c r="E157" s="373" t="s">
        <v>93</v>
      </c>
      <c r="F157" s="374"/>
      <c r="G157" s="88">
        <f>+ROUND(Návrh!H154,-3)/$X$2</f>
        <v>0</v>
      </c>
      <c r="H157" s="88">
        <f>+ROUND(Návrh!I154,-3)/$X$2</f>
        <v>0</v>
      </c>
      <c r="I157" s="88">
        <f>+ROUND(Návrh!J154,-3)/$X$2</f>
        <v>0</v>
      </c>
      <c r="J157" s="88" t="e">
        <f>+ROUND(Návrh!#REF!,-3)/$X$2</f>
        <v>#REF!</v>
      </c>
      <c r="K157" s="88">
        <f>+ROUND(Návrh!K154,-3)/$X$2</f>
        <v>-2</v>
      </c>
      <c r="L157" s="88">
        <f>+ROUND(Návrh!L154,-3)/$X$2</f>
        <v>0</v>
      </c>
      <c r="M157" s="67"/>
    </row>
    <row r="158" spans="1:13" x14ac:dyDescent="0.25">
      <c r="A158" s="26" t="s">
        <v>1668</v>
      </c>
      <c r="B158" s="26"/>
      <c r="C158" s="23"/>
      <c r="D158" s="23"/>
      <c r="E158" s="379" t="s">
        <v>151</v>
      </c>
      <c r="F158" s="380"/>
      <c r="G158" s="92">
        <f>+ROUND(Návrh!H155,-3)/$X$2</f>
        <v>-1</v>
      </c>
      <c r="H158" s="92">
        <f>+ROUND(Návrh!I155,-3)/$X$2</f>
        <v>-1</v>
      </c>
      <c r="I158" s="92">
        <f>+ROUND(Návrh!J155,-3)/$X$2</f>
        <v>0</v>
      </c>
      <c r="J158" s="92" t="e">
        <f>+ROUND(Návrh!#REF!,-3)/$X$2</f>
        <v>#REF!</v>
      </c>
      <c r="K158" s="92">
        <f>+ROUND(Návrh!K155,-3)/$X$2</f>
        <v>-1</v>
      </c>
      <c r="L158" s="92">
        <f>+ROUND(Návrh!L155,-3)/$X$2</f>
        <v>0</v>
      </c>
      <c r="M158" s="67"/>
    </row>
    <row r="159" spans="1:13" x14ac:dyDescent="0.25">
      <c r="A159" s="42" t="s">
        <v>1065</v>
      </c>
      <c r="B159" s="14"/>
      <c r="C159" s="13"/>
      <c r="D159" s="13"/>
      <c r="E159" s="373" t="s">
        <v>152</v>
      </c>
      <c r="F159" s="374"/>
      <c r="G159" s="88">
        <f>+ROUND(Návrh!H156,-3)/$X$2</f>
        <v>-1</v>
      </c>
      <c r="H159" s="88">
        <f>+ROUND(Návrh!I156,-3)/$X$2</f>
        <v>-1</v>
      </c>
      <c r="I159" s="88">
        <f>+ROUND(Návrh!J156,-3)/$X$2</f>
        <v>0</v>
      </c>
      <c r="J159" s="88" t="e">
        <f>+ROUND(Návrh!#REF!,-3)/$X$2</f>
        <v>#REF!</v>
      </c>
      <c r="K159" s="88">
        <f>+ROUND(Návrh!K156,-3)/$X$2</f>
        <v>-1</v>
      </c>
      <c r="L159" s="88">
        <f>+ROUND(Návrh!L156,-3)/$X$2</f>
        <v>0</v>
      </c>
      <c r="M159" s="67"/>
    </row>
    <row r="160" spans="1:13" x14ac:dyDescent="0.25">
      <c r="A160" s="26" t="s">
        <v>1066</v>
      </c>
      <c r="B160" s="26"/>
      <c r="C160" s="23"/>
      <c r="D160" s="23"/>
      <c r="E160" s="379" t="s">
        <v>153</v>
      </c>
      <c r="F160" s="380"/>
      <c r="G160" s="92">
        <f>+ROUND(Návrh!H157,-3)/$X$2</f>
        <v>-147</v>
      </c>
      <c r="H160" s="92">
        <f>+ROUND(Návrh!I157,-3)/$X$2</f>
        <v>-133</v>
      </c>
      <c r="I160" s="92">
        <f>+ROUND(Návrh!J157,-3)/$X$2</f>
        <v>0</v>
      </c>
      <c r="J160" s="92" t="e">
        <f>+ROUND(Návrh!#REF!,-3)/$X$2</f>
        <v>#REF!</v>
      </c>
      <c r="K160" s="92">
        <f>+ROUND(Návrh!K157,-3)/$X$2</f>
        <v>-89</v>
      </c>
      <c r="L160" s="92">
        <f>+ROUND(Návrh!L157,-3)/$X$2</f>
        <v>0</v>
      </c>
      <c r="M160" s="67"/>
    </row>
    <row r="161" spans="1:13" x14ac:dyDescent="0.25">
      <c r="A161" s="42" t="s">
        <v>1067</v>
      </c>
      <c r="B161" s="14"/>
      <c r="C161" s="13"/>
      <c r="D161" s="13"/>
      <c r="E161" s="373" t="s">
        <v>154</v>
      </c>
      <c r="F161" s="374"/>
      <c r="G161" s="88">
        <f>+ROUND(Návrh!H158,-3)/$X$2</f>
        <v>-45</v>
      </c>
      <c r="H161" s="88">
        <f>+ROUND(Návrh!I158,-3)/$X$2</f>
        <v>-41</v>
      </c>
      <c r="I161" s="88">
        <f>+ROUND(Návrh!J158,-3)/$X$2</f>
        <v>0</v>
      </c>
      <c r="J161" s="88" t="e">
        <f>+ROUND(Návrh!#REF!,-3)/$X$2</f>
        <v>#REF!</v>
      </c>
      <c r="K161" s="88">
        <f>+ROUND(Návrh!K158,-3)/$X$2</f>
        <v>-46</v>
      </c>
      <c r="L161" s="88">
        <f>+ROUND(Návrh!L158,-3)/$X$2</f>
        <v>0</v>
      </c>
      <c r="M161" s="67"/>
    </row>
    <row r="162" spans="1:13" x14ac:dyDescent="0.25">
      <c r="A162" s="42" t="s">
        <v>1068</v>
      </c>
      <c r="B162" s="14"/>
      <c r="C162" s="13"/>
      <c r="D162" s="13"/>
      <c r="E162" s="373" t="s">
        <v>155</v>
      </c>
      <c r="F162" s="374"/>
      <c r="G162" s="88">
        <f>+ROUND(Návrh!H159,-3)/$X$2</f>
        <v>-32</v>
      </c>
      <c r="H162" s="88">
        <f>+ROUND(Návrh!I159,-3)/$X$2</f>
        <v>-33</v>
      </c>
      <c r="I162" s="88">
        <f>+ROUND(Návrh!J159,-3)/$X$2</f>
        <v>0</v>
      </c>
      <c r="J162" s="88" t="e">
        <f>+ROUND(Návrh!#REF!,-3)/$X$2</f>
        <v>#REF!</v>
      </c>
      <c r="K162" s="88">
        <f>+ROUND(Návrh!K159,-3)/$X$2</f>
        <v>-28</v>
      </c>
      <c r="L162" s="88">
        <f>+ROUND(Návrh!L159,-3)/$X$2</f>
        <v>0</v>
      </c>
      <c r="M162" s="67"/>
    </row>
    <row r="163" spans="1:13" x14ac:dyDescent="0.25">
      <c r="A163" s="42" t="s">
        <v>1069</v>
      </c>
      <c r="B163" s="14"/>
      <c r="C163" s="13"/>
      <c r="D163" s="13"/>
      <c r="E163" s="373" t="s">
        <v>156</v>
      </c>
      <c r="F163" s="374"/>
      <c r="G163" s="88">
        <f>+ROUND(Návrh!H160,-3)/$X$2</f>
        <v>-1</v>
      </c>
      <c r="H163" s="88">
        <f>+ROUND(Návrh!I160,-3)/$X$2</f>
        <v>-2</v>
      </c>
      <c r="I163" s="88">
        <f>+ROUND(Návrh!J160,-3)/$X$2</f>
        <v>0</v>
      </c>
      <c r="J163" s="88" t="e">
        <f>+ROUND(Návrh!#REF!,-3)/$X$2</f>
        <v>#REF!</v>
      </c>
      <c r="K163" s="88">
        <f>+ROUND(Návrh!K160,-3)/$X$2</f>
        <v>-1</v>
      </c>
      <c r="L163" s="88">
        <f>+ROUND(Návrh!L160,-3)/$X$2</f>
        <v>0</v>
      </c>
      <c r="M163" s="67"/>
    </row>
    <row r="164" spans="1:13" x14ac:dyDescent="0.25">
      <c r="A164" s="42" t="s">
        <v>1070</v>
      </c>
      <c r="B164" s="14"/>
      <c r="C164" s="13"/>
      <c r="D164" s="13"/>
      <c r="E164" s="373" t="s">
        <v>157</v>
      </c>
      <c r="F164" s="374"/>
      <c r="G164" s="88">
        <f>+ROUND(Návrh!H161,-3)/$X$2</f>
        <v>-4</v>
      </c>
      <c r="H164" s="88">
        <f>+ROUND(Návrh!I161,-3)/$X$2</f>
        <v>-3</v>
      </c>
      <c r="I164" s="88">
        <f>+ROUND(Návrh!J161,-3)/$X$2</f>
        <v>0</v>
      </c>
      <c r="J164" s="88" t="e">
        <f>+ROUND(Návrh!#REF!,-3)/$X$2</f>
        <v>#REF!</v>
      </c>
      <c r="K164" s="88">
        <f>+ROUND(Návrh!K161,-3)/$X$2</f>
        <v>-3</v>
      </c>
      <c r="L164" s="88">
        <f>+ROUND(Návrh!L161,-3)/$X$2</f>
        <v>0</v>
      </c>
      <c r="M164" s="67"/>
    </row>
    <row r="165" spans="1:13" x14ac:dyDescent="0.25">
      <c r="A165" s="42" t="s">
        <v>1071</v>
      </c>
      <c r="B165" s="14"/>
      <c r="C165" s="13"/>
      <c r="D165" s="13"/>
      <c r="E165" s="373" t="s">
        <v>158</v>
      </c>
      <c r="F165" s="374"/>
      <c r="G165" s="88">
        <f>+ROUND(Návrh!H162,-3)/$X$2</f>
        <v>-3</v>
      </c>
      <c r="H165" s="88">
        <f>+ROUND(Návrh!I162,-3)/$X$2</f>
        <v>-3</v>
      </c>
      <c r="I165" s="88">
        <f>+ROUND(Návrh!J162,-3)/$X$2</f>
        <v>0</v>
      </c>
      <c r="J165" s="88" t="e">
        <f>+ROUND(Návrh!#REF!,-3)/$X$2</f>
        <v>#REF!</v>
      </c>
      <c r="K165" s="88">
        <f>+ROUND(Návrh!K162,-3)/$X$2</f>
        <v>-3</v>
      </c>
      <c r="L165" s="88">
        <f>+ROUND(Návrh!L162,-3)/$X$2</f>
        <v>0</v>
      </c>
      <c r="M165" s="67"/>
    </row>
    <row r="166" spans="1:13" x14ac:dyDescent="0.25">
      <c r="A166" s="42" t="s">
        <v>1072</v>
      </c>
      <c r="B166" s="14"/>
      <c r="C166" s="13"/>
      <c r="D166" s="13"/>
      <c r="E166" s="373" t="s">
        <v>159</v>
      </c>
      <c r="F166" s="374"/>
      <c r="G166" s="88">
        <f>+ROUND(Návrh!H163,-3)/$X$2</f>
        <v>-62</v>
      </c>
      <c r="H166" s="88">
        <f>+ROUND(Návrh!I163,-3)/$X$2</f>
        <v>-50</v>
      </c>
      <c r="I166" s="88">
        <f>+ROUND(Návrh!J163,-3)/$X$2</f>
        <v>0</v>
      </c>
      <c r="J166" s="88" t="e">
        <f>+ROUND(Návrh!#REF!,-3)/$X$2</f>
        <v>#REF!</v>
      </c>
      <c r="K166" s="88">
        <f>+ROUND(Návrh!K163,-3)/$X$2</f>
        <v>-8</v>
      </c>
      <c r="L166" s="88">
        <f>+ROUND(Návrh!L163,-3)/$X$2</f>
        <v>0</v>
      </c>
      <c r="M166" s="67"/>
    </row>
    <row r="167" spans="1:13" x14ac:dyDescent="0.25">
      <c r="A167" s="26" t="s">
        <v>1073</v>
      </c>
      <c r="B167" s="26"/>
      <c r="C167" s="23"/>
      <c r="D167" s="23"/>
      <c r="E167" s="379" t="s">
        <v>160</v>
      </c>
      <c r="F167" s="380"/>
      <c r="G167" s="92">
        <f>+ROUND(Návrh!H164,-3)/$X$2</f>
        <v>-18</v>
      </c>
      <c r="H167" s="92">
        <f>+ROUND(Návrh!I164,-3)/$X$2</f>
        <v>-11</v>
      </c>
      <c r="I167" s="92">
        <f>+ROUND(Návrh!J164,-3)/$X$2</f>
        <v>0</v>
      </c>
      <c r="J167" s="92" t="e">
        <f>+ROUND(Návrh!#REF!,-3)/$X$2</f>
        <v>#REF!</v>
      </c>
      <c r="K167" s="92">
        <f>+ROUND(Návrh!K164,-3)/$X$2</f>
        <v>-5</v>
      </c>
      <c r="L167" s="92">
        <f>+ROUND(Návrh!L164,-3)/$X$2</f>
        <v>0</v>
      </c>
      <c r="M167" s="67"/>
    </row>
    <row r="168" spans="1:13" x14ac:dyDescent="0.25">
      <c r="A168" s="42" t="s">
        <v>1074</v>
      </c>
      <c r="B168" s="14"/>
      <c r="C168" s="13"/>
      <c r="D168" s="13"/>
      <c r="E168" s="373" t="s">
        <v>161</v>
      </c>
      <c r="F168" s="374"/>
      <c r="G168" s="88">
        <f>+ROUND(Návrh!H165,-3)/$X$2</f>
        <v>-18</v>
      </c>
      <c r="H168" s="88">
        <f>+ROUND(Návrh!I165,-3)/$X$2</f>
        <v>-11</v>
      </c>
      <c r="I168" s="88">
        <f>+ROUND(Návrh!J165,-3)/$X$2</f>
        <v>0</v>
      </c>
      <c r="J168" s="88" t="e">
        <f>+ROUND(Návrh!#REF!,-3)/$X$2</f>
        <v>#REF!</v>
      </c>
      <c r="K168" s="88">
        <f>+ROUND(Návrh!K165,-3)/$X$2</f>
        <v>-5</v>
      </c>
      <c r="L168" s="88">
        <f>+ROUND(Návrh!L165,-3)/$X$2</f>
        <v>0</v>
      </c>
      <c r="M168" s="67"/>
    </row>
    <row r="169" spans="1:13" x14ac:dyDescent="0.25">
      <c r="A169" s="26" t="s">
        <v>1075</v>
      </c>
      <c r="B169" s="26"/>
      <c r="C169" s="23"/>
      <c r="D169" s="23"/>
      <c r="E169" s="379" t="s">
        <v>162</v>
      </c>
      <c r="F169" s="380"/>
      <c r="G169" s="92">
        <f>+ROUND(Návrh!H166,-3)/$X$2</f>
        <v>-15</v>
      </c>
      <c r="H169" s="92">
        <f>+ROUND(Návrh!I166,-3)/$X$2</f>
        <v>-16</v>
      </c>
      <c r="I169" s="92">
        <f>+ROUND(Návrh!J166,-3)/$X$2</f>
        <v>0</v>
      </c>
      <c r="J169" s="92" t="e">
        <f>+ROUND(Návrh!#REF!,-3)/$X$2</f>
        <v>#REF!</v>
      </c>
      <c r="K169" s="92">
        <f>+ROUND(Návrh!K166,-3)/$X$2</f>
        <v>-20</v>
      </c>
      <c r="L169" s="92">
        <f>+ROUND(Návrh!L166,-3)/$X$2</f>
        <v>0</v>
      </c>
      <c r="M169" s="67"/>
    </row>
    <row r="170" spans="1:13" x14ac:dyDescent="0.25">
      <c r="A170" s="42" t="s">
        <v>1076</v>
      </c>
      <c r="B170" s="14"/>
      <c r="C170" s="13"/>
      <c r="D170" s="13"/>
      <c r="E170" s="373" t="s">
        <v>163</v>
      </c>
      <c r="F170" s="374"/>
      <c r="G170" s="88">
        <f>+ROUND(Návrh!H167,-3)/$X$2</f>
        <v>0</v>
      </c>
      <c r="H170" s="88">
        <f>+ROUND(Návrh!I167,-3)/$X$2</f>
        <v>0</v>
      </c>
      <c r="I170" s="88">
        <f>+ROUND(Návrh!J167,-3)/$X$2</f>
        <v>0</v>
      </c>
      <c r="J170" s="88" t="e">
        <f>+ROUND(Návrh!#REF!,-3)/$X$2</f>
        <v>#REF!</v>
      </c>
      <c r="K170" s="88">
        <f>+ROUND(Návrh!K167,-3)/$X$2</f>
        <v>0</v>
      </c>
      <c r="L170" s="88">
        <f>+ROUND(Návrh!L167,-3)/$X$2</f>
        <v>0</v>
      </c>
      <c r="M170" s="67"/>
    </row>
    <row r="171" spans="1:13" x14ac:dyDescent="0.25">
      <c r="A171" s="42" t="s">
        <v>1077</v>
      </c>
      <c r="B171" s="14"/>
      <c r="C171" s="13"/>
      <c r="D171" s="13"/>
      <c r="E171" s="373" t="s">
        <v>164</v>
      </c>
      <c r="F171" s="374"/>
      <c r="G171" s="88">
        <f>+ROUND(Návrh!H168,-3)/$X$2</f>
        <v>-15</v>
      </c>
      <c r="H171" s="88">
        <f>+ROUND(Návrh!I168,-3)/$X$2</f>
        <v>-16</v>
      </c>
      <c r="I171" s="88">
        <f>+ROUND(Návrh!J168,-3)/$X$2</f>
        <v>0</v>
      </c>
      <c r="J171" s="88" t="e">
        <f>+ROUND(Návrh!#REF!,-3)/$X$2</f>
        <v>#REF!</v>
      </c>
      <c r="K171" s="88">
        <f>+ROUND(Návrh!K168,-3)/$X$2</f>
        <v>-20</v>
      </c>
      <c r="L171" s="88">
        <f>+ROUND(Návrh!L168,-3)/$X$2</f>
        <v>0</v>
      </c>
      <c r="M171" s="67"/>
    </row>
    <row r="172" spans="1:13" x14ac:dyDescent="0.25">
      <c r="A172" s="38" t="s">
        <v>165</v>
      </c>
      <c r="B172" s="38"/>
      <c r="C172" s="22"/>
      <c r="D172" s="22"/>
      <c r="E172" s="385" t="s">
        <v>166</v>
      </c>
      <c r="F172" s="386"/>
      <c r="G172" s="91">
        <f>+ROUND(Návrh!H169,-3)/$X$2</f>
        <v>-102051</v>
      </c>
      <c r="H172" s="91">
        <f>+ROUND(Návrh!I169,-3)/$X$2</f>
        <v>-101811</v>
      </c>
      <c r="I172" s="91">
        <f>+ROUND(Návrh!J169,-3)/$X$2</f>
        <v>-117000</v>
      </c>
      <c r="J172" s="91" t="e">
        <f>+ROUND(Návrh!#REF!,-3)/$X$2</f>
        <v>#REF!</v>
      </c>
      <c r="K172" s="91">
        <f>+ROUND(Návrh!K169,-3)/$X$2</f>
        <v>-109204</v>
      </c>
      <c r="L172" s="91">
        <f>+ROUND(Návrh!L169,-3)/$X$2</f>
        <v>-107540</v>
      </c>
      <c r="M172" s="67"/>
    </row>
    <row r="173" spans="1:13" x14ac:dyDescent="0.25">
      <c r="A173" s="26" t="s">
        <v>1078</v>
      </c>
      <c r="B173" s="26"/>
      <c r="C173" s="23"/>
      <c r="D173" s="23"/>
      <c r="E173" s="379" t="s">
        <v>167</v>
      </c>
      <c r="F173" s="380"/>
      <c r="G173" s="92">
        <f>+ROUND(Návrh!H170,-3)/$X$2</f>
        <v>548</v>
      </c>
      <c r="H173" s="92">
        <f>+ROUND(Návrh!I170,-3)/$X$2</f>
        <v>523</v>
      </c>
      <c r="I173" s="92">
        <f>+ROUND(Návrh!J170,-3)/$X$2</f>
        <v>0</v>
      </c>
      <c r="J173" s="92" t="e">
        <f>+ROUND(Návrh!#REF!,-3)/$X$2</f>
        <v>#REF!</v>
      </c>
      <c r="K173" s="92">
        <f>+ROUND(Návrh!K170,-3)/$X$2</f>
        <v>369</v>
      </c>
      <c r="L173" s="92">
        <f>+ROUND(Návrh!L170,-3)/$X$2</f>
        <v>0</v>
      </c>
      <c r="M173" s="67"/>
    </row>
    <row r="174" spans="1:13" x14ac:dyDescent="0.25">
      <c r="A174" s="42" t="s">
        <v>1079</v>
      </c>
      <c r="B174" s="14"/>
      <c r="C174" s="13"/>
      <c r="D174" s="13"/>
      <c r="E174" s="373" t="s">
        <v>168</v>
      </c>
      <c r="F174" s="374"/>
      <c r="G174" s="88">
        <f>+ROUND(Návrh!H171,-3)/$X$2</f>
        <v>548</v>
      </c>
      <c r="H174" s="88">
        <f>+ROUND(Návrh!I171,-3)/$X$2</f>
        <v>523</v>
      </c>
      <c r="I174" s="88">
        <f>+ROUND(Návrh!J171,-3)/$X$2</f>
        <v>0</v>
      </c>
      <c r="J174" s="88" t="e">
        <f>+ROUND(Návrh!#REF!,-3)/$X$2</f>
        <v>#REF!</v>
      </c>
      <c r="K174" s="88">
        <f>+ROUND(Návrh!K171,-3)/$X$2</f>
        <v>369</v>
      </c>
      <c r="L174" s="88">
        <f>+ROUND(Návrh!L171,-3)/$X$2</f>
        <v>0</v>
      </c>
      <c r="M174" s="67"/>
    </row>
    <row r="175" spans="1:13" x14ac:dyDescent="0.25">
      <c r="A175" s="26" t="s">
        <v>1080</v>
      </c>
      <c r="B175" s="26"/>
      <c r="C175" s="23"/>
      <c r="D175" s="23"/>
      <c r="E175" s="379" t="s">
        <v>169</v>
      </c>
      <c r="F175" s="380"/>
      <c r="G175" s="92">
        <f>+ROUND(Návrh!H172,-3)/$X$2</f>
        <v>-102051</v>
      </c>
      <c r="H175" s="92">
        <f>+ROUND(Návrh!I172,-3)/$X$2</f>
        <v>-101811</v>
      </c>
      <c r="I175" s="92">
        <f>+ROUND(Návrh!J172,-3)/$X$2</f>
        <v>-117000</v>
      </c>
      <c r="J175" s="92" t="e">
        <f>+ROUND(Návrh!#REF!,-3)/$X$2</f>
        <v>#REF!</v>
      </c>
      <c r="K175" s="92">
        <f>+ROUND(Návrh!K172,-3)/$X$2</f>
        <v>-109204</v>
      </c>
      <c r="L175" s="92">
        <f>+ROUND(Návrh!L172,-3)/$X$2</f>
        <v>-107540</v>
      </c>
      <c r="M175" s="67"/>
    </row>
    <row r="176" spans="1:13" x14ac:dyDescent="0.25">
      <c r="A176" s="42" t="s">
        <v>1081</v>
      </c>
      <c r="B176" s="20" t="s">
        <v>916</v>
      </c>
      <c r="C176" s="20" t="s">
        <v>919</v>
      </c>
      <c r="D176" s="20" t="s">
        <v>1089</v>
      </c>
      <c r="E176" s="373" t="s">
        <v>170</v>
      </c>
      <c r="F176" s="374"/>
      <c r="G176" s="88">
        <f>+ROUND(Návrh!H173,-3)/$X$2</f>
        <v>-31319</v>
      </c>
      <c r="H176" s="88">
        <f>+ROUND(Návrh!I173,-3)/$X$2</f>
        <v>-32261</v>
      </c>
      <c r="I176" s="88">
        <f>+ROUND(Návrh!J173,-3)/$X$2</f>
        <v>-42400</v>
      </c>
      <c r="J176" s="88" t="e">
        <f>+ROUND(Návrh!#REF!,-3)/$X$2</f>
        <v>#REF!</v>
      </c>
      <c r="K176" s="88">
        <f>+ROUND(Návrh!K173,-3)/$X$2</f>
        <v>-43001</v>
      </c>
      <c r="L176" s="88">
        <f>+ROUND(Návrh!L173,-3)/$X$2</f>
        <v>-39000</v>
      </c>
      <c r="M176" s="67"/>
    </row>
    <row r="177" spans="1:13" x14ac:dyDescent="0.25">
      <c r="A177" s="42" t="s">
        <v>1082</v>
      </c>
      <c r="B177" s="20" t="s">
        <v>916</v>
      </c>
      <c r="C177" s="20" t="s">
        <v>919</v>
      </c>
      <c r="D177" s="20" t="s">
        <v>1649</v>
      </c>
      <c r="E177" s="373" t="s">
        <v>171</v>
      </c>
      <c r="F177" s="374"/>
      <c r="G177" s="88">
        <f>+ROUND(Návrh!H174,-3)/$X$2</f>
        <v>-16129</v>
      </c>
      <c r="H177" s="88">
        <f>+ROUND(Návrh!I174,-3)/$X$2</f>
        <v>-18043</v>
      </c>
      <c r="I177" s="88">
        <f>+ROUND(Návrh!J174,-3)/$X$2</f>
        <v>-17750</v>
      </c>
      <c r="J177" s="88" t="e">
        <f>+ROUND(Návrh!#REF!,-3)/$X$2</f>
        <v>#REF!</v>
      </c>
      <c r="K177" s="88">
        <f>+ROUND(Návrh!K174,-3)/$X$2</f>
        <v>-15934</v>
      </c>
      <c r="L177" s="88">
        <f>+ROUND(Návrh!L174,-3)/$X$2</f>
        <v>-17350</v>
      </c>
      <c r="M177" s="67"/>
    </row>
    <row r="178" spans="1:13" x14ac:dyDescent="0.25">
      <c r="A178" s="42" t="s">
        <v>1083</v>
      </c>
      <c r="B178" s="20" t="s">
        <v>916</v>
      </c>
      <c r="C178" s="20" t="s">
        <v>919</v>
      </c>
      <c r="D178" s="20" t="s">
        <v>1089</v>
      </c>
      <c r="E178" s="373" t="s">
        <v>172</v>
      </c>
      <c r="F178" s="374"/>
      <c r="G178" s="88">
        <f>+ROUND(Návrh!H175,-3)/$X$2</f>
        <v>-53937</v>
      </c>
      <c r="H178" s="88">
        <f>+ROUND(Návrh!I175,-3)/$X$2</f>
        <v>-50947</v>
      </c>
      <c r="I178" s="88">
        <f>+ROUND(Návrh!J175,-3)/$X$2</f>
        <v>-56000</v>
      </c>
      <c r="J178" s="88" t="e">
        <f>+ROUND(Návrh!#REF!,-3)/$X$2</f>
        <v>#REF!</v>
      </c>
      <c r="K178" s="88">
        <f>+ROUND(Návrh!K175,-3)/$X$2</f>
        <v>-49658</v>
      </c>
      <c r="L178" s="88">
        <f>+ROUND(Návrh!L175,-3)/$X$2</f>
        <v>-50440</v>
      </c>
      <c r="M178" s="67"/>
    </row>
    <row r="179" spans="1:13" x14ac:dyDescent="0.25">
      <c r="A179" s="42" t="s">
        <v>1084</v>
      </c>
      <c r="B179" s="20" t="s">
        <v>916</v>
      </c>
      <c r="C179" s="20" t="s">
        <v>919</v>
      </c>
      <c r="D179" s="20" t="s">
        <v>1089</v>
      </c>
      <c r="E179" s="373" t="s">
        <v>173</v>
      </c>
      <c r="F179" s="374"/>
      <c r="G179" s="88">
        <f>+ROUND(Návrh!H176,-3)/$X$2</f>
        <v>-667</v>
      </c>
      <c r="H179" s="88">
        <f>+ROUND(Návrh!I176,-3)/$X$2</f>
        <v>-560</v>
      </c>
      <c r="I179" s="88">
        <f>+ROUND(Návrh!J176,-3)/$X$2</f>
        <v>-850</v>
      </c>
      <c r="J179" s="88" t="e">
        <f>+ROUND(Návrh!#REF!,-3)/$X$2</f>
        <v>#REF!</v>
      </c>
      <c r="K179" s="88">
        <f>+ROUND(Návrh!K176,-3)/$X$2</f>
        <v>-610</v>
      </c>
      <c r="L179" s="88">
        <f>+ROUND(Návrh!L176,-3)/$X$2</f>
        <v>-750</v>
      </c>
      <c r="M179" s="67"/>
    </row>
    <row r="180" spans="1:13" x14ac:dyDescent="0.25">
      <c r="A180" s="26" t="s">
        <v>1085</v>
      </c>
      <c r="B180" s="26"/>
      <c r="C180" s="23"/>
      <c r="D180" s="23"/>
      <c r="E180" s="379" t="s">
        <v>174</v>
      </c>
      <c r="F180" s="380"/>
      <c r="G180" s="92">
        <f>+ROUND(Návrh!H177,-3)/$X$2</f>
        <v>-548</v>
      </c>
      <c r="H180" s="92">
        <f>+ROUND(Návrh!I177,-3)/$X$2</f>
        <v>-523</v>
      </c>
      <c r="I180" s="92">
        <f>+ROUND(Návrh!J177,-3)/$X$2</f>
        <v>0</v>
      </c>
      <c r="J180" s="92" t="e">
        <f>+ROUND(Návrh!#REF!,-3)/$X$2</f>
        <v>#REF!</v>
      </c>
      <c r="K180" s="92">
        <f>+ROUND(Návrh!K177,-3)/$X$2</f>
        <v>-369</v>
      </c>
      <c r="L180" s="92">
        <f>+ROUND(Návrh!L177,-3)/$X$2</f>
        <v>0</v>
      </c>
      <c r="M180" s="67"/>
    </row>
    <row r="181" spans="1:13" x14ac:dyDescent="0.25">
      <c r="A181" s="42" t="s">
        <v>1086</v>
      </c>
      <c r="B181" s="14"/>
      <c r="C181" s="13"/>
      <c r="D181" s="13"/>
      <c r="E181" s="373" t="s">
        <v>175</v>
      </c>
      <c r="F181" s="374"/>
      <c r="G181" s="88">
        <f>+ROUND(Návrh!H178,-3)/$X$2</f>
        <v>-121</v>
      </c>
      <c r="H181" s="88">
        <f>+ROUND(Návrh!I178,-3)/$X$2</f>
        <v>-118</v>
      </c>
      <c r="I181" s="88">
        <f>+ROUND(Návrh!J178,-3)/$X$2</f>
        <v>0</v>
      </c>
      <c r="J181" s="88" t="e">
        <f>+ROUND(Návrh!#REF!,-3)/$X$2</f>
        <v>#REF!</v>
      </c>
      <c r="K181" s="88">
        <f>+ROUND(Návrh!K178,-3)/$X$2</f>
        <v>-154</v>
      </c>
      <c r="L181" s="88">
        <f>+ROUND(Návrh!L178,-3)/$X$2</f>
        <v>0</v>
      </c>
      <c r="M181" s="67"/>
    </row>
    <row r="182" spans="1:13" x14ac:dyDescent="0.25">
      <c r="A182" s="42" t="s">
        <v>1087</v>
      </c>
      <c r="B182" s="14"/>
      <c r="C182" s="13"/>
      <c r="D182" s="13"/>
      <c r="E182" s="373" t="s">
        <v>176</v>
      </c>
      <c r="F182" s="374"/>
      <c r="G182" s="88">
        <f>+ROUND(Návrh!H179,-3)/$X$2</f>
        <v>-96</v>
      </c>
      <c r="H182" s="88">
        <f>+ROUND(Návrh!I179,-3)/$X$2</f>
        <v>-91</v>
      </c>
      <c r="I182" s="88">
        <f>+ROUND(Návrh!J179,-3)/$X$2</f>
        <v>0</v>
      </c>
      <c r="J182" s="88" t="e">
        <f>+ROUND(Návrh!#REF!,-3)/$X$2</f>
        <v>#REF!</v>
      </c>
      <c r="K182" s="88">
        <f>+ROUND(Návrh!K179,-3)/$X$2</f>
        <v>-49</v>
      </c>
      <c r="L182" s="88">
        <f>+ROUND(Návrh!L179,-3)/$X$2</f>
        <v>0</v>
      </c>
      <c r="M182" s="67"/>
    </row>
    <row r="183" spans="1:13" x14ac:dyDescent="0.25">
      <c r="A183" s="42" t="s">
        <v>1088</v>
      </c>
      <c r="B183" s="14"/>
      <c r="C183" s="13"/>
      <c r="D183" s="13"/>
      <c r="E183" s="373" t="s">
        <v>177</v>
      </c>
      <c r="F183" s="374"/>
      <c r="G183" s="88">
        <f>+ROUND(Návrh!H180,-3)/$X$2</f>
        <v>-330</v>
      </c>
      <c r="H183" s="88">
        <f>+ROUND(Návrh!I180,-3)/$X$2</f>
        <v>-314</v>
      </c>
      <c r="I183" s="88">
        <f>+ROUND(Návrh!J180,-3)/$X$2</f>
        <v>0</v>
      </c>
      <c r="J183" s="88" t="e">
        <f>+ROUND(Návrh!#REF!,-3)/$X$2</f>
        <v>#REF!</v>
      </c>
      <c r="K183" s="88">
        <f>+ROUND(Návrh!K180,-3)/$X$2</f>
        <v>-167</v>
      </c>
      <c r="L183" s="88">
        <f>+ROUND(Návrh!L180,-3)/$X$2</f>
        <v>0</v>
      </c>
      <c r="M183" s="67"/>
    </row>
    <row r="184" spans="1:13" x14ac:dyDescent="0.25">
      <c r="A184" s="38" t="s">
        <v>178</v>
      </c>
      <c r="B184" s="38"/>
      <c r="C184" s="22"/>
      <c r="D184" s="22"/>
      <c r="E184" s="385" t="s">
        <v>179</v>
      </c>
      <c r="F184" s="386"/>
      <c r="G184" s="91">
        <f>+ROUND(Návrh!H181,-3)/$X$2</f>
        <v>0</v>
      </c>
      <c r="H184" s="91">
        <f>+ROUND(Návrh!I181,-3)/$X$2</f>
        <v>0</v>
      </c>
      <c r="I184" s="91">
        <f>+ROUND(Návrh!J181,-3)/$X$2</f>
        <v>0</v>
      </c>
      <c r="J184" s="91" t="e">
        <f>+ROUND(Návrh!#REF!,-3)/$X$2</f>
        <v>#REF!</v>
      </c>
      <c r="K184" s="91">
        <f>+ROUND(Návrh!K181,-3)/$X$2</f>
        <v>0</v>
      </c>
      <c r="L184" s="91">
        <f>+ROUND(Návrh!L181,-3)/$X$2</f>
        <v>0</v>
      </c>
      <c r="M184" s="67"/>
    </row>
    <row r="185" spans="1:13" x14ac:dyDescent="0.25">
      <c r="A185" s="38" t="s">
        <v>180</v>
      </c>
      <c r="B185" s="38"/>
      <c r="C185" s="22"/>
      <c r="D185" s="22"/>
      <c r="E185" s="385" t="s">
        <v>181</v>
      </c>
      <c r="F185" s="386"/>
      <c r="G185" s="91">
        <f>+ROUND(Návrh!H182,-3)/$X$2</f>
        <v>-288523</v>
      </c>
      <c r="H185" s="91">
        <f>+ROUND(Návrh!I182,-3)/$X$2</f>
        <v>-345841</v>
      </c>
      <c r="I185" s="91">
        <f>+ROUND(Návrh!J182,-3)/$X$2</f>
        <v>-360124</v>
      </c>
      <c r="J185" s="91" t="e">
        <f>+ROUND(Návrh!#REF!,-3)/$X$2</f>
        <v>#REF!</v>
      </c>
      <c r="K185" s="91">
        <f>+ROUND(Návrh!K182,-3)/$X$2</f>
        <v>-362494</v>
      </c>
      <c r="L185" s="91">
        <f>+ROUND(Návrh!L182,-3)/$X$2</f>
        <v>-378457</v>
      </c>
      <c r="M185" s="67"/>
    </row>
    <row r="186" spans="1:13" x14ac:dyDescent="0.25">
      <c r="A186" s="26" t="s">
        <v>1090</v>
      </c>
      <c r="B186" s="26"/>
      <c r="C186" s="23"/>
      <c r="D186" s="23"/>
      <c r="E186" s="379" t="s">
        <v>182</v>
      </c>
      <c r="F186" s="380"/>
      <c r="G186" s="92">
        <f>+ROUND(Návrh!H183,-3)/$X$2</f>
        <v>-2120</v>
      </c>
      <c r="H186" s="92">
        <f>+ROUND(Návrh!I183,-3)/$X$2</f>
        <v>-3512</v>
      </c>
      <c r="I186" s="92">
        <f>+ROUND(Návrh!J183,-3)/$X$2</f>
        <v>-3574</v>
      </c>
      <c r="J186" s="92" t="e">
        <f>+ROUND(Návrh!#REF!,-3)/$X$2</f>
        <v>#REF!</v>
      </c>
      <c r="K186" s="92">
        <f>+ROUND(Návrh!K183,-3)/$X$2</f>
        <v>-3937</v>
      </c>
      <c r="L186" s="92">
        <f>+ROUND(Návrh!L183,-3)/$X$2</f>
        <v>-3801</v>
      </c>
      <c r="M186" s="67"/>
    </row>
    <row r="187" spans="1:13" x14ac:dyDescent="0.25">
      <c r="A187" s="42" t="s">
        <v>1091</v>
      </c>
      <c r="B187" s="27" t="s">
        <v>916</v>
      </c>
      <c r="C187" s="28" t="s">
        <v>923</v>
      </c>
      <c r="D187" s="28" t="s">
        <v>917</v>
      </c>
      <c r="E187" s="373" t="s">
        <v>183</v>
      </c>
      <c r="F187" s="374"/>
      <c r="G187" s="88">
        <f>+ROUND(Návrh!H184,-3)/$X$2</f>
        <v>-1433</v>
      </c>
      <c r="H187" s="88">
        <f>+ROUND(Návrh!I184,-3)/$X$2</f>
        <v>-2494</v>
      </c>
      <c r="I187" s="88">
        <f>+ROUND(Návrh!J184,-3)/$X$2</f>
        <v>-2509</v>
      </c>
      <c r="J187" s="88" t="e">
        <f>+ROUND(Návrh!#REF!,-3)/$X$2</f>
        <v>#REF!</v>
      </c>
      <c r="K187" s="88">
        <f>+ROUND(Návrh!K184,-3)/$X$2</f>
        <v>-2771</v>
      </c>
      <c r="L187" s="88">
        <f>+ROUND(Návrh!L184,-3)/$X$2</f>
        <v>-2716</v>
      </c>
      <c r="M187" s="67"/>
    </row>
    <row r="188" spans="1:13" x14ac:dyDescent="0.25">
      <c r="A188" s="42" t="s">
        <v>1092</v>
      </c>
      <c r="B188" s="27" t="s">
        <v>916</v>
      </c>
      <c r="C188" s="28" t="s">
        <v>919</v>
      </c>
      <c r="D188" s="28" t="s">
        <v>917</v>
      </c>
      <c r="E188" s="373" t="s">
        <v>184</v>
      </c>
      <c r="F188" s="374"/>
      <c r="G188" s="88">
        <f>+ROUND(Návrh!H185,-3)/$X$2</f>
        <v>-178</v>
      </c>
      <c r="H188" s="88">
        <f>+ROUND(Návrh!I185,-3)/$X$2</f>
        <v>-225</v>
      </c>
      <c r="I188" s="88">
        <f>+ROUND(Návrh!J185,-3)/$X$2</f>
        <v>-312</v>
      </c>
      <c r="J188" s="88" t="e">
        <f>+ROUND(Návrh!#REF!,-3)/$X$2</f>
        <v>#REF!</v>
      </c>
      <c r="K188" s="88">
        <f>+ROUND(Návrh!K185,-3)/$X$2</f>
        <v>-228</v>
      </c>
      <c r="L188" s="88">
        <f>+ROUND(Návrh!L185,-3)/$X$2</f>
        <v>-230</v>
      </c>
      <c r="M188" s="67"/>
    </row>
    <row r="189" spans="1:13" x14ac:dyDescent="0.25">
      <c r="A189" s="42" t="s">
        <v>1093</v>
      </c>
      <c r="B189" s="27" t="s">
        <v>916</v>
      </c>
      <c r="C189" s="28" t="s">
        <v>923</v>
      </c>
      <c r="D189" s="28" t="s">
        <v>917</v>
      </c>
      <c r="E189" s="373" t="s">
        <v>185</v>
      </c>
      <c r="F189" s="374"/>
      <c r="G189" s="88">
        <f>+ROUND(Návrh!H186,-3)/$X$2</f>
        <v>-508</v>
      </c>
      <c r="H189" s="88">
        <f>+ROUND(Návrh!I186,-3)/$X$2</f>
        <v>-793</v>
      </c>
      <c r="I189" s="88">
        <f>+ROUND(Návrh!J186,-3)/$X$2</f>
        <v>-753</v>
      </c>
      <c r="J189" s="88" t="e">
        <f>+ROUND(Návrh!#REF!,-3)/$X$2</f>
        <v>#REF!</v>
      </c>
      <c r="K189" s="88">
        <f>+ROUND(Návrh!K186,-3)/$X$2</f>
        <v>-938</v>
      </c>
      <c r="L189" s="88">
        <f>+ROUND(Návrh!L186,-3)/$X$2</f>
        <v>-855</v>
      </c>
      <c r="M189" s="67"/>
    </row>
    <row r="190" spans="1:13" x14ac:dyDescent="0.25">
      <c r="A190" s="26" t="s">
        <v>1094</v>
      </c>
      <c r="B190" s="26"/>
      <c r="C190" s="23"/>
      <c r="D190" s="23"/>
      <c r="E190" s="379" t="s">
        <v>186</v>
      </c>
      <c r="F190" s="380"/>
      <c r="G190" s="92">
        <f>+ROUND(Návrh!H187,-3)/$X$2</f>
        <v>29310</v>
      </c>
      <c r="H190" s="92">
        <f>+ROUND(Návrh!I187,-3)/$X$2</f>
        <v>0</v>
      </c>
      <c r="I190" s="92">
        <f>+ROUND(Návrh!J187,-3)/$X$2</f>
        <v>0</v>
      </c>
      <c r="J190" s="92" t="e">
        <f>+ROUND(Návrh!#REF!,-3)/$X$2</f>
        <v>#REF!</v>
      </c>
      <c r="K190" s="92">
        <f>+ROUND(Návrh!K187,-3)/$X$2</f>
        <v>0</v>
      </c>
      <c r="L190" s="92">
        <f>+ROUND(Návrh!L187,-3)/$X$2</f>
        <v>0</v>
      </c>
      <c r="M190" s="67"/>
    </row>
    <row r="191" spans="1:13" x14ac:dyDescent="0.25">
      <c r="A191" s="42" t="s">
        <v>1095</v>
      </c>
      <c r="B191" s="20" t="s">
        <v>922</v>
      </c>
      <c r="C191" s="20" t="s">
        <v>923</v>
      </c>
      <c r="D191" s="20" t="s">
        <v>922</v>
      </c>
      <c r="E191" s="373" t="s">
        <v>187</v>
      </c>
      <c r="F191" s="374"/>
      <c r="G191" s="88">
        <f>+ROUND(Návrh!H188,-3)/$X$2</f>
        <v>29310</v>
      </c>
      <c r="H191" s="88">
        <f>+ROUND(Návrh!I188,-3)/$X$2</f>
        <v>0</v>
      </c>
      <c r="I191" s="88">
        <f>+ROUND(Návrh!J188,-3)/$X$2</f>
        <v>0</v>
      </c>
      <c r="J191" s="88" t="e">
        <f>+ROUND(Návrh!#REF!,-3)/$X$2</f>
        <v>#REF!</v>
      </c>
      <c r="K191" s="88">
        <f>+ROUND(Návrh!K188,-3)/$X$2</f>
        <v>0</v>
      </c>
      <c r="L191" s="88">
        <f>+ROUND(Návrh!L188,-3)/$X$2</f>
        <v>0</v>
      </c>
      <c r="M191" s="67"/>
    </row>
    <row r="192" spans="1:13" x14ac:dyDescent="0.25">
      <c r="A192" s="26" t="s">
        <v>1096</v>
      </c>
      <c r="B192" s="26"/>
      <c r="C192" s="23"/>
      <c r="D192" s="23"/>
      <c r="E192" s="379" t="s">
        <v>188</v>
      </c>
      <c r="F192" s="380"/>
      <c r="G192" s="92">
        <f>+ROUND(Návrh!H189,-3)/$X$2</f>
        <v>-315713</v>
      </c>
      <c r="H192" s="92">
        <f>+ROUND(Návrh!I189,-3)/$X$2</f>
        <v>-342329</v>
      </c>
      <c r="I192" s="92">
        <f>+ROUND(Návrh!J189,-3)/$X$2</f>
        <v>-356550</v>
      </c>
      <c r="J192" s="92" t="e">
        <f>+ROUND(Návrh!#REF!,-3)/$X$2</f>
        <v>#REF!</v>
      </c>
      <c r="K192" s="92">
        <f>+ROUND(Návrh!K189,-3)/$X$2</f>
        <v>-358557</v>
      </c>
      <c r="L192" s="92">
        <f>+ROUND(Návrh!L189,-3)/$X$2</f>
        <v>-374656</v>
      </c>
      <c r="M192" s="67"/>
    </row>
    <row r="193" spans="1:13" x14ac:dyDescent="0.25">
      <c r="A193" s="42" t="s">
        <v>1097</v>
      </c>
      <c r="B193" s="20" t="s">
        <v>922</v>
      </c>
      <c r="C193" s="20" t="s">
        <v>923</v>
      </c>
      <c r="D193" s="20" t="s">
        <v>1114</v>
      </c>
      <c r="E193" s="373" t="s">
        <v>189</v>
      </c>
      <c r="F193" s="374"/>
      <c r="G193" s="88">
        <f>+ROUND(Návrh!H190,-3)/$X$2</f>
        <v>-25469</v>
      </c>
      <c r="H193" s="88">
        <f>+ROUND(Návrh!I190,-3)/$X$2</f>
        <v>-30117</v>
      </c>
      <c r="I193" s="88">
        <f>+ROUND(Návrh!J190,-3)/$X$2</f>
        <v>-31100</v>
      </c>
      <c r="J193" s="88" t="e">
        <f>+ROUND(Návrh!#REF!,-3)/$X$2</f>
        <v>#REF!</v>
      </c>
      <c r="K193" s="88">
        <f>+ROUND(Návrh!K190,-3)/$X$2</f>
        <v>-34081</v>
      </c>
      <c r="L193" s="88">
        <f>+ROUND(Návrh!L190,-3)/$X$2</f>
        <v>-35615</v>
      </c>
      <c r="M193" s="67"/>
    </row>
    <row r="194" spans="1:13" x14ac:dyDescent="0.25">
      <c r="A194" s="42" t="s">
        <v>1098</v>
      </c>
      <c r="B194" s="20" t="s">
        <v>922</v>
      </c>
      <c r="C194" s="20" t="s">
        <v>923</v>
      </c>
      <c r="D194" s="20" t="s">
        <v>1114</v>
      </c>
      <c r="E194" s="373" t="s">
        <v>190</v>
      </c>
      <c r="F194" s="374"/>
      <c r="G194" s="88">
        <f>+ROUND(Návrh!H191,-3)/$X$2</f>
        <v>-1028</v>
      </c>
      <c r="H194" s="88">
        <f>+ROUND(Návrh!I191,-3)/$X$2</f>
        <v>-1331</v>
      </c>
      <c r="I194" s="88">
        <f>+ROUND(Návrh!J191,-3)/$X$2</f>
        <v>-1300</v>
      </c>
      <c r="J194" s="88" t="e">
        <f>+ROUND(Návrh!#REF!,-3)/$X$2</f>
        <v>#REF!</v>
      </c>
      <c r="K194" s="88">
        <f>+ROUND(Návrh!K191,-3)/$X$2</f>
        <v>-1756</v>
      </c>
      <c r="L194" s="88">
        <f>+ROUND(Návrh!L191,-3)/$X$2</f>
        <v>-1835</v>
      </c>
      <c r="M194" s="67"/>
    </row>
    <row r="195" spans="1:13" x14ac:dyDescent="0.25">
      <c r="A195" s="42" t="s">
        <v>1099</v>
      </c>
      <c r="B195" s="20" t="s">
        <v>922</v>
      </c>
      <c r="C195" s="20" t="s">
        <v>923</v>
      </c>
      <c r="D195" s="20" t="s">
        <v>1114</v>
      </c>
      <c r="E195" s="373" t="s">
        <v>191</v>
      </c>
      <c r="F195" s="374"/>
      <c r="G195" s="88">
        <f>+ROUND(Návrh!H192,-3)/$X$2</f>
        <v>-5785</v>
      </c>
      <c r="H195" s="88">
        <f>+ROUND(Návrh!I192,-3)/$X$2</f>
        <v>-4321</v>
      </c>
      <c r="I195" s="88">
        <f>+ROUND(Návrh!J192,-3)/$X$2</f>
        <v>-5000</v>
      </c>
      <c r="J195" s="88" t="e">
        <f>+ROUND(Návrh!#REF!,-3)/$X$2</f>
        <v>#REF!</v>
      </c>
      <c r="K195" s="88">
        <f>+ROUND(Návrh!K192,-3)/$X$2</f>
        <v>-1338</v>
      </c>
      <c r="L195" s="88">
        <f>+ROUND(Návrh!L192,-3)/$X$2</f>
        <v>-1398</v>
      </c>
      <c r="M195" s="67"/>
    </row>
    <row r="196" spans="1:13" x14ac:dyDescent="0.25">
      <c r="A196" s="42" t="s">
        <v>1100</v>
      </c>
      <c r="B196" s="20" t="s">
        <v>922</v>
      </c>
      <c r="C196" s="20" t="s">
        <v>923</v>
      </c>
      <c r="D196" s="20" t="s">
        <v>1114</v>
      </c>
      <c r="E196" s="373" t="s">
        <v>192</v>
      </c>
      <c r="F196" s="374"/>
      <c r="G196" s="88">
        <f>+ROUND(Návrh!H193,-3)/$X$2</f>
        <v>-134088</v>
      </c>
      <c r="H196" s="88">
        <f>+ROUND(Návrh!I193,-3)/$X$2</f>
        <v>-148055</v>
      </c>
      <c r="I196" s="88">
        <f>+ROUND(Návrh!J193,-3)/$X$2</f>
        <v>-260800</v>
      </c>
      <c r="J196" s="88" t="e">
        <f>+ROUND(Návrh!#REF!,-3)/$X$2</f>
        <v>#REF!</v>
      </c>
      <c r="K196" s="88">
        <f>+ROUND(Návrh!K193,-3)/$X$2</f>
        <v>-259224</v>
      </c>
      <c r="L196" s="88">
        <f>+ROUND(Návrh!L193,-3)/$X$2</f>
        <v>-270889</v>
      </c>
      <c r="M196" s="67"/>
    </row>
    <row r="197" spans="1:13" x14ac:dyDescent="0.25">
      <c r="A197" s="42" t="s">
        <v>1101</v>
      </c>
      <c r="B197" s="20" t="s">
        <v>922</v>
      </c>
      <c r="C197" s="20" t="s">
        <v>923</v>
      </c>
      <c r="D197" s="20" t="s">
        <v>1114</v>
      </c>
      <c r="E197" s="373" t="s">
        <v>193</v>
      </c>
      <c r="F197" s="374"/>
      <c r="G197" s="88">
        <f>+ROUND(Návrh!H194,-3)/$X$2</f>
        <v>-4851</v>
      </c>
      <c r="H197" s="88">
        <f>+ROUND(Návrh!I194,-3)/$X$2</f>
        <v>-5663</v>
      </c>
      <c r="I197" s="88">
        <f>+ROUND(Návrh!J194,-3)/$X$2</f>
        <v>-6000</v>
      </c>
      <c r="J197" s="88" t="e">
        <f>+ROUND(Návrh!#REF!,-3)/$X$2</f>
        <v>#REF!</v>
      </c>
      <c r="K197" s="88">
        <f>+ROUND(Návrh!K194,-3)/$X$2</f>
        <v>-6273</v>
      </c>
      <c r="L197" s="88">
        <f>+ROUND(Návrh!L194,-3)/$X$2</f>
        <v>-6555</v>
      </c>
      <c r="M197" s="67"/>
    </row>
    <row r="198" spans="1:13" x14ac:dyDescent="0.25">
      <c r="A198" s="42" t="s">
        <v>1102</v>
      </c>
      <c r="B198" s="20" t="s">
        <v>922</v>
      </c>
      <c r="C198" s="20" t="s">
        <v>923</v>
      </c>
      <c r="D198" s="20" t="s">
        <v>1114</v>
      </c>
      <c r="E198" s="373" t="s">
        <v>194</v>
      </c>
      <c r="F198" s="374"/>
      <c r="G198" s="88">
        <f>+ROUND(Návrh!H195,-3)/$X$2</f>
        <v>-18328</v>
      </c>
      <c r="H198" s="88">
        <f>+ROUND(Návrh!I195,-3)/$X$2</f>
        <v>-20543</v>
      </c>
      <c r="I198" s="88">
        <f>+ROUND(Návrh!J195,-3)/$X$2</f>
        <v>-38900</v>
      </c>
      <c r="J198" s="88" t="e">
        <f>+ROUND(Návrh!#REF!,-3)/$X$2</f>
        <v>#REF!</v>
      </c>
      <c r="K198" s="88">
        <f>+ROUND(Návrh!K195,-3)/$X$2</f>
        <v>-40047</v>
      </c>
      <c r="L198" s="88">
        <f>+ROUND(Návrh!L195,-3)/$X$2</f>
        <v>-41849</v>
      </c>
      <c r="M198" s="67"/>
    </row>
    <row r="199" spans="1:13" x14ac:dyDescent="0.25">
      <c r="A199" s="42" t="s">
        <v>1103</v>
      </c>
      <c r="B199" s="20" t="s">
        <v>922</v>
      </c>
      <c r="C199" s="20" t="s">
        <v>923</v>
      </c>
      <c r="D199" s="20" t="s">
        <v>1114</v>
      </c>
      <c r="E199" s="373" t="s">
        <v>195</v>
      </c>
      <c r="F199" s="374"/>
      <c r="G199" s="88">
        <f>+ROUND(Návrh!H196,-3)/$X$2</f>
        <v>-761</v>
      </c>
      <c r="H199" s="88">
        <f>+ROUND(Návrh!I196,-3)/$X$2</f>
        <v>-467</v>
      </c>
      <c r="I199" s="88">
        <f>+ROUND(Návrh!J196,-3)/$X$2</f>
        <v>-500</v>
      </c>
      <c r="J199" s="88" t="e">
        <f>+ROUND(Návrh!#REF!,-3)/$X$2</f>
        <v>#REF!</v>
      </c>
      <c r="K199" s="88">
        <f>+ROUND(Návrh!K196,-3)/$X$2</f>
        <v>-2369</v>
      </c>
      <c r="L199" s="88">
        <f>+ROUND(Návrh!L196,-3)/$X$2</f>
        <v>-2476</v>
      </c>
      <c r="M199" s="67"/>
    </row>
    <row r="200" spans="1:13" x14ac:dyDescent="0.25">
      <c r="A200" s="42" t="s">
        <v>1104</v>
      </c>
      <c r="B200" s="20" t="s">
        <v>922</v>
      </c>
      <c r="C200" s="20" t="s">
        <v>923</v>
      </c>
      <c r="D200" s="20" t="s">
        <v>1114</v>
      </c>
      <c r="E200" s="373" t="s">
        <v>196</v>
      </c>
      <c r="F200" s="374"/>
      <c r="G200" s="88">
        <f>+ROUND(Návrh!H197,-3)/$X$2</f>
        <v>-171</v>
      </c>
      <c r="H200" s="88">
        <f>+ROUND(Návrh!I197,-3)/$X$2</f>
        <v>-164</v>
      </c>
      <c r="I200" s="88">
        <f>+ROUND(Návrh!J197,-3)/$X$2</f>
        <v>-200</v>
      </c>
      <c r="J200" s="88" t="e">
        <f>+ROUND(Návrh!#REF!,-3)/$X$2</f>
        <v>#REF!</v>
      </c>
      <c r="K200" s="88">
        <f>+ROUND(Návrh!K197,-3)/$X$2</f>
        <v>-322</v>
      </c>
      <c r="L200" s="88">
        <f>+ROUND(Návrh!L197,-3)/$X$2</f>
        <v>-337</v>
      </c>
      <c r="M200" s="67"/>
    </row>
    <row r="201" spans="1:13" x14ac:dyDescent="0.25">
      <c r="A201" s="42" t="s">
        <v>1105</v>
      </c>
      <c r="B201" s="20" t="s">
        <v>922</v>
      </c>
      <c r="C201" s="20" t="s">
        <v>923</v>
      </c>
      <c r="D201" s="20" t="s">
        <v>1114</v>
      </c>
      <c r="E201" s="373" t="s">
        <v>197</v>
      </c>
      <c r="F201" s="374"/>
      <c r="G201" s="88">
        <f>+ROUND(Návrh!H198,-3)/$X$2</f>
        <v>-620</v>
      </c>
      <c r="H201" s="88">
        <f>+ROUND(Návrh!I198,-3)/$X$2</f>
        <v>-604</v>
      </c>
      <c r="I201" s="88">
        <f>+ROUND(Návrh!J198,-3)/$X$2</f>
        <v>-1250</v>
      </c>
      <c r="J201" s="88" t="e">
        <f>+ROUND(Návrh!#REF!,-3)/$X$2</f>
        <v>#REF!</v>
      </c>
      <c r="K201" s="88">
        <f>+ROUND(Návrh!K198,-3)/$X$2</f>
        <v>-851</v>
      </c>
      <c r="L201" s="88">
        <f>+ROUND(Návrh!L198,-3)/$X$2</f>
        <v>-889</v>
      </c>
      <c r="M201" s="67"/>
    </row>
    <row r="202" spans="1:13" x14ac:dyDescent="0.25">
      <c r="A202" s="42" t="s">
        <v>1106</v>
      </c>
      <c r="B202" s="20" t="s">
        <v>922</v>
      </c>
      <c r="C202" s="20" t="s">
        <v>923</v>
      </c>
      <c r="D202" s="20" t="s">
        <v>1114</v>
      </c>
      <c r="E202" s="373" t="s">
        <v>198</v>
      </c>
      <c r="F202" s="374"/>
      <c r="G202" s="88">
        <f>+ROUND(Návrh!H199,-3)/$X$2</f>
        <v>-1504</v>
      </c>
      <c r="H202" s="88">
        <f>+ROUND(Návrh!I199,-3)/$X$2</f>
        <v>-1627</v>
      </c>
      <c r="I202" s="88">
        <f>+ROUND(Návrh!J199,-3)/$X$2</f>
        <v>-1600</v>
      </c>
      <c r="J202" s="88" t="e">
        <f>+ROUND(Návrh!#REF!,-3)/$X$2</f>
        <v>#REF!</v>
      </c>
      <c r="K202" s="88">
        <f>+ROUND(Návrh!K199,-3)/$X$2</f>
        <v>-1525</v>
      </c>
      <c r="L202" s="88">
        <f>+ROUND(Návrh!L199,-3)/$X$2</f>
        <v>-1594</v>
      </c>
      <c r="M202" s="67"/>
    </row>
    <row r="203" spans="1:13" x14ac:dyDescent="0.25">
      <c r="A203" s="42" t="s">
        <v>1107</v>
      </c>
      <c r="B203" s="20" t="s">
        <v>922</v>
      </c>
      <c r="C203" s="20" t="s">
        <v>923</v>
      </c>
      <c r="D203" s="20" t="s">
        <v>1114</v>
      </c>
      <c r="E203" s="373" t="s">
        <v>199</v>
      </c>
      <c r="F203" s="374"/>
      <c r="G203" s="88">
        <f>+ROUND(Návrh!H200,-3)/$X$2</f>
        <v>-8155</v>
      </c>
      <c r="H203" s="88">
        <f>+ROUND(Návrh!I200,-3)/$X$2</f>
        <v>-9578</v>
      </c>
      <c r="I203" s="88">
        <f>+ROUND(Návrh!J200,-3)/$X$2</f>
        <v>-9700</v>
      </c>
      <c r="J203" s="88" t="e">
        <f>+ROUND(Návrh!#REF!,-3)/$X$2</f>
        <v>#REF!</v>
      </c>
      <c r="K203" s="88">
        <f>+ROUND(Návrh!K200,-3)/$X$2</f>
        <v>-10737</v>
      </c>
      <c r="L203" s="88">
        <f>+ROUND(Návrh!L200,-3)/$X$2</f>
        <v>-11221</v>
      </c>
      <c r="M203" s="67"/>
    </row>
    <row r="204" spans="1:13" x14ac:dyDescent="0.25">
      <c r="A204" s="42" t="s">
        <v>1108</v>
      </c>
      <c r="B204" s="20" t="s">
        <v>922</v>
      </c>
      <c r="C204" s="20" t="s">
        <v>923</v>
      </c>
      <c r="D204" s="20" t="s">
        <v>1114</v>
      </c>
      <c r="E204" s="399" t="s">
        <v>1671</v>
      </c>
      <c r="F204" s="400"/>
      <c r="G204" s="88">
        <f>+ROUND(Návrh!H201,-3)/$X$2</f>
        <v>-89</v>
      </c>
      <c r="H204" s="88">
        <f>+ROUND(Návrh!I201,-3)/$X$2</f>
        <v>-147</v>
      </c>
      <c r="I204" s="88">
        <f>+ROUND(Návrh!J201,-3)/$X$2</f>
        <v>-200</v>
      </c>
      <c r="J204" s="88" t="e">
        <f>+ROUND(Návrh!#REF!,-3)/$X$2</f>
        <v>#REF!</v>
      </c>
      <c r="K204" s="88">
        <f>+ROUND(Návrh!K201,-3)/$X$2</f>
        <v>-34</v>
      </c>
      <c r="L204" s="88">
        <f>+ROUND(Návrh!L201,-3)/$X$2</f>
        <v>0</v>
      </c>
      <c r="M204" s="67"/>
    </row>
    <row r="205" spans="1:13" x14ac:dyDescent="0.25">
      <c r="A205" s="42" t="s">
        <v>1109</v>
      </c>
      <c r="B205" s="20"/>
      <c r="C205" s="20"/>
      <c r="D205" s="20"/>
      <c r="E205" s="373" t="s">
        <v>200</v>
      </c>
      <c r="F205" s="374"/>
      <c r="G205" s="88">
        <f>+ROUND(Návrh!H202,-3)/$X$2</f>
        <v>-98741</v>
      </c>
      <c r="H205" s="88">
        <f>+ROUND(Návrh!I202,-3)/$X$2</f>
        <v>-102111</v>
      </c>
      <c r="I205" s="88">
        <f>+ROUND(Návrh!J202,-3)/$X$2</f>
        <v>0</v>
      </c>
      <c r="J205" s="88" t="e">
        <f>+ROUND(Návrh!#REF!,-3)/$X$2</f>
        <v>#REF!</v>
      </c>
      <c r="K205" s="88">
        <f>+ROUND(Návrh!K202,-3)/$X$2</f>
        <v>0</v>
      </c>
      <c r="L205" s="88">
        <f>+ROUND(Návrh!L202,-3)/$X$2</f>
        <v>0</v>
      </c>
      <c r="M205" s="67"/>
    </row>
    <row r="206" spans="1:13" x14ac:dyDescent="0.25">
      <c r="A206" s="42" t="s">
        <v>1110</v>
      </c>
      <c r="B206" s="20"/>
      <c r="C206" s="20"/>
      <c r="D206" s="20"/>
      <c r="E206" s="373" t="s">
        <v>201</v>
      </c>
      <c r="F206" s="374"/>
      <c r="G206" s="88">
        <f>+ROUND(Návrh!H203,-3)/$X$2</f>
        <v>-15049</v>
      </c>
      <c r="H206" s="88">
        <f>+ROUND(Návrh!I203,-3)/$X$2</f>
        <v>-16840</v>
      </c>
      <c r="I206" s="88">
        <f>+ROUND(Návrh!J203,-3)/$X$2</f>
        <v>0</v>
      </c>
      <c r="J206" s="88" t="e">
        <f>+ROUND(Návrh!#REF!,-3)/$X$2</f>
        <v>#REF!</v>
      </c>
      <c r="K206" s="88">
        <f>+ROUND(Návrh!K203,-3)/$X$2</f>
        <v>0</v>
      </c>
      <c r="L206" s="88">
        <f>+ROUND(Návrh!L203,-3)/$X$2</f>
        <v>0</v>
      </c>
      <c r="M206" s="67"/>
    </row>
    <row r="207" spans="1:13" x14ac:dyDescent="0.25">
      <c r="A207" s="83" t="s">
        <v>1634</v>
      </c>
      <c r="B207" s="21" t="s">
        <v>922</v>
      </c>
      <c r="C207" s="21" t="s">
        <v>923</v>
      </c>
      <c r="D207" s="21" t="s">
        <v>1114</v>
      </c>
      <c r="E207" s="387" t="s">
        <v>1635</v>
      </c>
      <c r="F207" s="388"/>
      <c r="G207" s="95">
        <f>+ROUND(Návrh!H204,-3)/$X$2</f>
        <v>0</v>
      </c>
      <c r="H207" s="95">
        <f>+ROUND(Návrh!I204,-3)/$X$2</f>
        <v>0</v>
      </c>
      <c r="I207" s="95">
        <f>+ROUND(Návrh!J204,-3)/$X$2</f>
        <v>0</v>
      </c>
      <c r="J207" s="95" t="e">
        <f>+ROUND(Návrh!#REF!,-3)/$X$2</f>
        <v>#REF!</v>
      </c>
      <c r="K207" s="95">
        <f>+ROUND(Návrh!K204,-3)/$X$2</f>
        <v>0</v>
      </c>
      <c r="L207" s="95">
        <f>+ROUND(Návrh!L204,-3)/$X$2</f>
        <v>0</v>
      </c>
      <c r="M207" s="67"/>
    </row>
    <row r="208" spans="1:13" x14ac:dyDescent="0.25">
      <c r="A208" s="42" t="s">
        <v>1111</v>
      </c>
      <c r="B208" s="20" t="s">
        <v>922</v>
      </c>
      <c r="C208" s="20" t="s">
        <v>923</v>
      </c>
      <c r="D208" s="20" t="s">
        <v>1114</v>
      </c>
      <c r="E208" s="373" t="s">
        <v>202</v>
      </c>
      <c r="F208" s="374"/>
      <c r="G208" s="88">
        <f>+ROUND(Návrh!H205,-3)/$X$2</f>
        <v>0</v>
      </c>
      <c r="H208" s="88">
        <f>+ROUND(Návrh!I205,-3)/$X$2</f>
        <v>-4</v>
      </c>
      <c r="I208" s="88">
        <f>+ROUND(Návrh!J205,-3)/$X$2</f>
        <v>0</v>
      </c>
      <c r="J208" s="88" t="e">
        <f>+ROUND(Návrh!#REF!,-3)/$X$2</f>
        <v>#REF!</v>
      </c>
      <c r="K208" s="88">
        <f>+ROUND(Návrh!K205,-3)/$X$2</f>
        <v>0</v>
      </c>
      <c r="L208" s="88">
        <f>+ROUND(Návrh!L205,-3)/$X$2</f>
        <v>0</v>
      </c>
      <c r="M208" s="67"/>
    </row>
    <row r="209" spans="1:13" x14ac:dyDescent="0.25">
      <c r="A209" s="42" t="s">
        <v>1112</v>
      </c>
      <c r="B209" s="20"/>
      <c r="C209" s="20"/>
      <c r="D209" s="20"/>
      <c r="E209" s="373" t="s">
        <v>203</v>
      </c>
      <c r="F209" s="374"/>
      <c r="G209" s="88">
        <f>+ROUND(Návrh!H206,-3)/$X$2</f>
        <v>-370</v>
      </c>
      <c r="H209" s="88">
        <f>+ROUND(Návrh!I206,-3)/$X$2</f>
        <v>-116</v>
      </c>
      <c r="I209" s="88">
        <f>+ROUND(Návrh!J206,-3)/$X$2</f>
        <v>0</v>
      </c>
      <c r="J209" s="88" t="e">
        <f>+ROUND(Návrh!#REF!,-3)/$X$2</f>
        <v>#REF!</v>
      </c>
      <c r="K209" s="88">
        <f>+ROUND(Návrh!K206,-3)/$X$2</f>
        <v>0</v>
      </c>
      <c r="L209" s="88">
        <f>+ROUND(Návrh!L206,-3)/$X$2</f>
        <v>0</v>
      </c>
      <c r="M209" s="67"/>
    </row>
    <row r="210" spans="1:13" x14ac:dyDescent="0.25">
      <c r="A210" s="42" t="s">
        <v>1113</v>
      </c>
      <c r="B210" s="20"/>
      <c r="C210" s="20"/>
      <c r="D210" s="20"/>
      <c r="E210" s="373" t="s">
        <v>204</v>
      </c>
      <c r="F210" s="374"/>
      <c r="G210" s="88">
        <f>+ROUND(Návrh!H207,-3)/$X$2</f>
        <v>-702</v>
      </c>
      <c r="H210" s="88">
        <f>+ROUND(Návrh!I207,-3)/$X$2</f>
        <v>-640</v>
      </c>
      <c r="I210" s="88">
        <f>+ROUND(Návrh!J207,-3)/$X$2</f>
        <v>0</v>
      </c>
      <c r="J210" s="88" t="e">
        <f>+ROUND(Návrh!#REF!,-3)/$X$2</f>
        <v>#REF!</v>
      </c>
      <c r="K210" s="88">
        <f>+ROUND(Návrh!K207,-3)/$X$2</f>
        <v>0</v>
      </c>
      <c r="L210" s="88">
        <f>+ROUND(Návrh!L207,-3)/$X$2</f>
        <v>0</v>
      </c>
      <c r="M210" s="67"/>
    </row>
    <row r="211" spans="1:13" x14ac:dyDescent="0.25">
      <c r="A211" s="38" t="s">
        <v>205</v>
      </c>
      <c r="B211" s="38"/>
      <c r="C211" s="22"/>
      <c r="D211" s="22"/>
      <c r="E211" s="385" t="s">
        <v>206</v>
      </c>
      <c r="F211" s="386"/>
      <c r="G211" s="91">
        <f>+ROUND(Návrh!H208,-3)/$X$2</f>
        <v>114818</v>
      </c>
      <c r="H211" s="91">
        <f>+ROUND(Návrh!I208,-3)/$X$2</f>
        <v>115074</v>
      </c>
      <c r="I211" s="91">
        <f>+ROUND(Návrh!J208,-3)/$X$2</f>
        <v>119427</v>
      </c>
      <c r="J211" s="91" t="e">
        <f>+ROUND(Návrh!#REF!,-3)/$X$2</f>
        <v>#REF!</v>
      </c>
      <c r="K211" s="91">
        <f>+ROUND(Návrh!K208,-3)/$X$2</f>
        <v>119470</v>
      </c>
      <c r="L211" s="91">
        <f>+ROUND(Návrh!L208,-3)/$X$2</f>
        <v>123569</v>
      </c>
      <c r="M211" s="67"/>
    </row>
    <row r="212" spans="1:13" x14ac:dyDescent="0.25">
      <c r="A212" s="26" t="s">
        <v>1115</v>
      </c>
      <c r="B212" s="26"/>
      <c r="C212" s="23"/>
      <c r="D212" s="23"/>
      <c r="E212" s="379" t="s">
        <v>207</v>
      </c>
      <c r="F212" s="380"/>
      <c r="G212" s="92">
        <f>+ROUND(Návrh!H209,-3)/$X$2</f>
        <v>108276</v>
      </c>
      <c r="H212" s="92">
        <f>+ROUND(Návrh!I209,-3)/$X$2</f>
        <v>107306</v>
      </c>
      <c r="I212" s="92">
        <f>+ROUND(Návrh!J209,-3)/$X$2</f>
        <v>111027</v>
      </c>
      <c r="J212" s="92" t="e">
        <f>+ROUND(Návrh!#REF!,-3)/$X$2</f>
        <v>#REF!</v>
      </c>
      <c r="K212" s="92">
        <f>+ROUND(Návrh!K209,-3)/$X$2</f>
        <v>110391</v>
      </c>
      <c r="L212" s="92">
        <f>+ROUND(Návrh!L209,-3)/$X$2</f>
        <v>114318</v>
      </c>
      <c r="M212" s="67"/>
    </row>
    <row r="213" spans="1:13" x14ac:dyDescent="0.25">
      <c r="A213" s="42" t="s">
        <v>1116</v>
      </c>
      <c r="B213" s="14"/>
      <c r="C213" s="13"/>
      <c r="D213" s="13"/>
      <c r="E213" s="373" t="s">
        <v>208</v>
      </c>
      <c r="F213" s="374"/>
      <c r="G213" s="88">
        <f>+ROUND(Návrh!H210,-3)/$X$2</f>
        <v>-94</v>
      </c>
      <c r="H213" s="88">
        <f>+ROUND(Návrh!I210,-3)/$X$2</f>
        <v>-66</v>
      </c>
      <c r="I213" s="88">
        <f>+ROUND(Návrh!J210,-3)/$X$2</f>
        <v>0</v>
      </c>
      <c r="J213" s="88" t="e">
        <f>+ROUND(Návrh!#REF!,-3)/$X$2</f>
        <v>#REF!</v>
      </c>
      <c r="K213" s="88">
        <f>+ROUND(Návrh!K210,-3)/$X$2</f>
        <v>0</v>
      </c>
      <c r="L213" s="88">
        <f>+ROUND(Návrh!L210,-3)/$X$2</f>
        <v>0</v>
      </c>
      <c r="M213" s="67"/>
    </row>
    <row r="214" spans="1:13" x14ac:dyDescent="0.25">
      <c r="A214" s="42" t="s">
        <v>1117</v>
      </c>
      <c r="B214" s="27" t="s">
        <v>916</v>
      </c>
      <c r="C214" s="28" t="s">
        <v>923</v>
      </c>
      <c r="D214" s="28" t="s">
        <v>917</v>
      </c>
      <c r="E214" s="373" t="s">
        <v>209</v>
      </c>
      <c r="F214" s="374"/>
      <c r="G214" s="88">
        <f>+ROUND(Návrh!H211,-3)/$X$2</f>
        <v>576</v>
      </c>
      <c r="H214" s="88">
        <f>+ROUND(Návrh!I211,-3)/$X$2</f>
        <v>855</v>
      </c>
      <c r="I214" s="88">
        <f>+ROUND(Návrh!J211,-3)/$X$2</f>
        <v>827</v>
      </c>
      <c r="J214" s="88" t="e">
        <f>+ROUND(Návrh!#REF!,-3)/$X$2</f>
        <v>#REF!</v>
      </c>
      <c r="K214" s="88">
        <f>+ROUND(Návrh!K211,-3)/$X$2</f>
        <v>1011</v>
      </c>
      <c r="L214" s="88">
        <f>+ROUND(Návrh!L211,-3)/$X$2</f>
        <v>990</v>
      </c>
      <c r="M214" s="67"/>
    </row>
    <row r="215" spans="1:13" x14ac:dyDescent="0.25">
      <c r="A215" s="42" t="s">
        <v>1118</v>
      </c>
      <c r="B215" s="20" t="s">
        <v>922</v>
      </c>
      <c r="C215" s="20" t="s">
        <v>919</v>
      </c>
      <c r="D215" s="20" t="s">
        <v>924</v>
      </c>
      <c r="E215" s="373" t="s">
        <v>210</v>
      </c>
      <c r="F215" s="374"/>
      <c r="G215" s="88">
        <f>+ROUND(Návrh!H212,-3)/$X$2</f>
        <v>65260</v>
      </c>
      <c r="H215" s="88">
        <f>+ROUND(Návrh!I212,-3)/$X$2</f>
        <v>63684</v>
      </c>
      <c r="I215" s="88">
        <f>+ROUND(Návrh!J212,-3)/$X$2</f>
        <v>67400</v>
      </c>
      <c r="J215" s="88" t="e">
        <f>+ROUND(Návrh!#REF!,-3)/$X$2</f>
        <v>#REF!</v>
      </c>
      <c r="K215" s="88">
        <f>+ROUND(Návrh!K212,-3)/$X$2</f>
        <v>67000</v>
      </c>
      <c r="L215" s="88">
        <f>+ROUND(Návrh!L212,-3)/$X$2</f>
        <v>70359</v>
      </c>
      <c r="M215" s="67"/>
    </row>
    <row r="216" spans="1:13" x14ac:dyDescent="0.25">
      <c r="A216" s="42" t="s">
        <v>1119</v>
      </c>
      <c r="B216" s="20" t="s">
        <v>922</v>
      </c>
      <c r="C216" s="20" t="s">
        <v>919</v>
      </c>
      <c r="D216" s="20" t="s">
        <v>924</v>
      </c>
      <c r="E216" s="373" t="s">
        <v>211</v>
      </c>
      <c r="F216" s="374"/>
      <c r="G216" s="88">
        <f>+ROUND(Návrh!H213,-3)/$X$2</f>
        <v>42534</v>
      </c>
      <c r="H216" s="88">
        <f>+ROUND(Návrh!I213,-3)/$X$2</f>
        <v>42834</v>
      </c>
      <c r="I216" s="88">
        <f>+ROUND(Návrh!J213,-3)/$X$2</f>
        <v>42800</v>
      </c>
      <c r="J216" s="88" t="e">
        <f>+ROUND(Návrh!#REF!,-3)/$X$2</f>
        <v>#REF!</v>
      </c>
      <c r="K216" s="88">
        <f>+ROUND(Návrh!K213,-3)/$X$2</f>
        <v>42381</v>
      </c>
      <c r="L216" s="88">
        <f>+ROUND(Návrh!L213,-3)/$X$2</f>
        <v>42969</v>
      </c>
      <c r="M216" s="67"/>
    </row>
    <row r="217" spans="1:13" x14ac:dyDescent="0.25">
      <c r="A217" s="26" t="s">
        <v>1120</v>
      </c>
      <c r="B217" s="26"/>
      <c r="C217" s="23"/>
      <c r="D217" s="23"/>
      <c r="E217" s="379" t="s">
        <v>212</v>
      </c>
      <c r="F217" s="380"/>
      <c r="G217" s="91">
        <f>+ROUND(Návrh!H214,-3)/$X$2</f>
        <v>6448</v>
      </c>
      <c r="H217" s="91">
        <f>+ROUND(Návrh!I214,-3)/$X$2</f>
        <v>7702</v>
      </c>
      <c r="I217" s="91">
        <f>+ROUND(Návrh!J214,-3)/$X$2</f>
        <v>8400</v>
      </c>
      <c r="J217" s="91" t="e">
        <f>+ROUND(Návrh!#REF!,-3)/$X$2</f>
        <v>#REF!</v>
      </c>
      <c r="K217" s="91">
        <f>+ROUND(Návrh!K214,-3)/$X$2</f>
        <v>9079</v>
      </c>
      <c r="L217" s="91">
        <f>+ROUND(Návrh!L214,-3)/$X$2</f>
        <v>9251</v>
      </c>
      <c r="M217" s="67"/>
    </row>
    <row r="218" spans="1:13" x14ac:dyDescent="0.25">
      <c r="A218" s="42" t="s">
        <v>1121</v>
      </c>
      <c r="B218" s="20" t="s">
        <v>922</v>
      </c>
      <c r="C218" s="20" t="s">
        <v>923</v>
      </c>
      <c r="D218" s="20" t="s">
        <v>1114</v>
      </c>
      <c r="E218" s="373" t="s">
        <v>213</v>
      </c>
      <c r="F218" s="374"/>
      <c r="G218" s="88">
        <f>+ROUND(Návrh!H215,-3)/$X$2</f>
        <v>177</v>
      </c>
      <c r="H218" s="88">
        <f>+ROUND(Návrh!I215,-3)/$X$2</f>
        <v>136</v>
      </c>
      <c r="I218" s="88">
        <f>+ROUND(Návrh!J215,-3)/$X$2</f>
        <v>200</v>
      </c>
      <c r="J218" s="88" t="e">
        <f>+ROUND(Návrh!#REF!,-3)/$X$2</f>
        <v>#REF!</v>
      </c>
      <c r="K218" s="88">
        <f>+ROUND(Návrh!K215,-3)/$X$2</f>
        <v>131</v>
      </c>
      <c r="L218" s="88">
        <f>+ROUND(Návrh!L215,-3)/$X$2</f>
        <v>151</v>
      </c>
      <c r="M218" s="67"/>
    </row>
    <row r="219" spans="1:13" x14ac:dyDescent="0.25">
      <c r="A219" s="42" t="s">
        <v>1122</v>
      </c>
      <c r="B219" s="20" t="s">
        <v>922</v>
      </c>
      <c r="C219" s="20" t="s">
        <v>923</v>
      </c>
      <c r="D219" s="20" t="s">
        <v>1114</v>
      </c>
      <c r="E219" s="373" t="s">
        <v>214</v>
      </c>
      <c r="F219" s="374"/>
      <c r="G219" s="88">
        <f>+ROUND(Návrh!H216,-3)/$X$2</f>
        <v>5734</v>
      </c>
      <c r="H219" s="88">
        <f>+ROUND(Návrh!I216,-3)/$X$2</f>
        <v>6801</v>
      </c>
      <c r="I219" s="88">
        <f>+ROUND(Návrh!J216,-3)/$X$2</f>
        <v>7300</v>
      </c>
      <c r="J219" s="88" t="e">
        <f>+ROUND(Návrh!#REF!,-3)/$X$2</f>
        <v>#REF!</v>
      </c>
      <c r="K219" s="88">
        <f>+ROUND(Návrh!K216,-3)/$X$2</f>
        <v>8433</v>
      </c>
      <c r="L219" s="88">
        <f>+ROUND(Návrh!L216,-3)/$X$2</f>
        <v>8500</v>
      </c>
      <c r="M219" s="67"/>
    </row>
    <row r="220" spans="1:13" x14ac:dyDescent="0.25">
      <c r="A220" s="42" t="s">
        <v>1123</v>
      </c>
      <c r="B220" s="20" t="s">
        <v>922</v>
      </c>
      <c r="C220" s="20" t="s">
        <v>923</v>
      </c>
      <c r="D220" s="20" t="s">
        <v>1114</v>
      </c>
      <c r="E220" s="373" t="s">
        <v>215</v>
      </c>
      <c r="F220" s="374"/>
      <c r="G220" s="88">
        <f>+ROUND(Návrh!H217,-3)/$X$2</f>
        <v>537</v>
      </c>
      <c r="H220" s="88">
        <f>+ROUND(Návrh!I217,-3)/$X$2</f>
        <v>765</v>
      </c>
      <c r="I220" s="88">
        <f>+ROUND(Návrh!J217,-3)/$X$2</f>
        <v>900</v>
      </c>
      <c r="J220" s="88" t="e">
        <f>+ROUND(Návrh!#REF!,-3)/$X$2</f>
        <v>#REF!</v>
      </c>
      <c r="K220" s="88">
        <f>+ROUND(Návrh!K217,-3)/$X$2</f>
        <v>515</v>
      </c>
      <c r="L220" s="88">
        <f>+ROUND(Návrh!L217,-3)/$X$2</f>
        <v>600</v>
      </c>
      <c r="M220" s="67"/>
    </row>
    <row r="221" spans="1:13" x14ac:dyDescent="0.25">
      <c r="A221" s="26" t="s">
        <v>1124</v>
      </c>
      <c r="B221" s="26"/>
      <c r="C221" s="23"/>
      <c r="D221" s="23"/>
      <c r="E221" s="379" t="s">
        <v>216</v>
      </c>
      <c r="F221" s="380"/>
      <c r="G221" s="91">
        <f>+ROUND(Návrh!H218,-3)/$X$2</f>
        <v>94</v>
      </c>
      <c r="H221" s="91">
        <f>+ROUND(Návrh!I218,-3)/$X$2</f>
        <v>66</v>
      </c>
      <c r="I221" s="91">
        <f>+ROUND(Návrh!J218,-3)/$X$2</f>
        <v>0</v>
      </c>
      <c r="J221" s="91" t="e">
        <f>+ROUND(Návrh!#REF!,-3)/$X$2</f>
        <v>#REF!</v>
      </c>
      <c r="K221" s="91">
        <f>+ROUND(Návrh!K218,-3)/$X$2</f>
        <v>0</v>
      </c>
      <c r="L221" s="91">
        <f>+ROUND(Návrh!L218,-3)/$X$2</f>
        <v>0</v>
      </c>
      <c r="M221" s="67"/>
    </row>
    <row r="222" spans="1:13" x14ac:dyDescent="0.25">
      <c r="A222" s="42" t="s">
        <v>1125</v>
      </c>
      <c r="B222" s="14"/>
      <c r="C222" s="13"/>
      <c r="D222" s="13"/>
      <c r="E222" s="373" t="s">
        <v>217</v>
      </c>
      <c r="F222" s="374"/>
      <c r="G222" s="88">
        <f>+ROUND(Návrh!H219,-3)/$X$2</f>
        <v>94</v>
      </c>
      <c r="H222" s="88">
        <f>+ROUND(Návrh!I219,-3)/$X$2</f>
        <v>66</v>
      </c>
      <c r="I222" s="88">
        <f>+ROUND(Návrh!J219,-3)/$X$2</f>
        <v>0</v>
      </c>
      <c r="J222" s="88" t="e">
        <f>+ROUND(Návrh!#REF!,-3)/$X$2</f>
        <v>#REF!</v>
      </c>
      <c r="K222" s="88">
        <f>+ROUND(Návrh!K219,-3)/$X$2</f>
        <v>0</v>
      </c>
      <c r="L222" s="88">
        <f>+ROUND(Návrh!L219,-3)/$X$2</f>
        <v>0</v>
      </c>
      <c r="M222" s="67"/>
    </row>
    <row r="223" spans="1:13" x14ac:dyDescent="0.25">
      <c r="A223" s="41" t="s">
        <v>218</v>
      </c>
      <c r="B223" s="41"/>
      <c r="C223" s="40"/>
      <c r="D223" s="40"/>
      <c r="E223" s="383" t="s">
        <v>219</v>
      </c>
      <c r="F223" s="384"/>
      <c r="G223" s="89">
        <f>+ROUND(Návrh!H220,-3)/$X$2</f>
        <v>-244066</v>
      </c>
      <c r="H223" s="89">
        <f>+ROUND(Návrh!I220,-3)/$X$2</f>
        <v>-264441</v>
      </c>
      <c r="I223" s="89">
        <f>+ROUND(Návrh!J220,-3)/$X$2</f>
        <v>-309736</v>
      </c>
      <c r="J223" s="89" t="e">
        <f>+ROUND(Návrh!#REF!,-3)/$X$2</f>
        <v>#REF!</v>
      </c>
      <c r="K223" s="89">
        <f>+ROUND(Návrh!K220,-3)/$X$2</f>
        <v>-335503</v>
      </c>
      <c r="L223" s="89">
        <f>+ROUND(Návrh!L220,-3)/$X$2</f>
        <v>-374589</v>
      </c>
      <c r="M223" s="67"/>
    </row>
    <row r="224" spans="1:13" x14ac:dyDescent="0.25">
      <c r="A224" s="38" t="s">
        <v>220</v>
      </c>
      <c r="B224" s="38"/>
      <c r="C224" s="22"/>
      <c r="D224" s="22"/>
      <c r="E224" s="385" t="s">
        <v>221</v>
      </c>
      <c r="F224" s="386"/>
      <c r="G224" s="91">
        <f>+ROUND(Návrh!H221,-3)/$X$2</f>
        <v>-62963</v>
      </c>
      <c r="H224" s="91">
        <f>+ROUND(Návrh!I221,-3)/$X$2</f>
        <v>-78213</v>
      </c>
      <c r="I224" s="91">
        <f>+ROUND(Návrh!J221,-3)/$X$2</f>
        <v>-90110</v>
      </c>
      <c r="J224" s="91" t="e">
        <f>+ROUND(Návrh!#REF!,-3)/$X$2</f>
        <v>#REF!</v>
      </c>
      <c r="K224" s="91">
        <f>+ROUND(Návrh!K221,-3)/$X$2</f>
        <v>-82617</v>
      </c>
      <c r="L224" s="91">
        <f>+ROUND(Návrh!L221,-3)/$X$2</f>
        <v>-86605</v>
      </c>
      <c r="M224" s="67"/>
    </row>
    <row r="225" spans="1:13" x14ac:dyDescent="0.25">
      <c r="A225" s="26" t="s">
        <v>1126</v>
      </c>
      <c r="B225" s="26"/>
      <c r="C225" s="23"/>
      <c r="D225" s="23"/>
      <c r="E225" s="379" t="s">
        <v>222</v>
      </c>
      <c r="F225" s="380"/>
      <c r="G225" s="92">
        <f>+ROUND(Návrh!H222,-3)/$X$2</f>
        <v>113</v>
      </c>
      <c r="H225" s="92">
        <f>+ROUND(Návrh!I222,-3)/$X$2</f>
        <v>173</v>
      </c>
      <c r="I225" s="92">
        <f>+ROUND(Návrh!J222,-3)/$X$2</f>
        <v>0</v>
      </c>
      <c r="J225" s="92" t="e">
        <f>+ROUND(Návrh!#REF!,-3)/$X$2</f>
        <v>#REF!</v>
      </c>
      <c r="K225" s="92">
        <f>+ROUND(Návrh!K222,-3)/$X$2</f>
        <v>98</v>
      </c>
      <c r="L225" s="92">
        <f>+ROUND(Návrh!L222,-3)/$X$2</f>
        <v>0</v>
      </c>
      <c r="M225" s="67"/>
    </row>
    <row r="226" spans="1:13" x14ac:dyDescent="0.25">
      <c r="A226" s="42" t="s">
        <v>1127</v>
      </c>
      <c r="B226" s="14"/>
      <c r="C226" s="13"/>
      <c r="D226" s="13"/>
      <c r="E226" s="373" t="s">
        <v>223</v>
      </c>
      <c r="F226" s="374"/>
      <c r="G226" s="88">
        <f>+ROUND(Návrh!H223,-3)/$X$2</f>
        <v>113</v>
      </c>
      <c r="H226" s="88">
        <f>+ROUND(Návrh!I223,-3)/$X$2</f>
        <v>173</v>
      </c>
      <c r="I226" s="88">
        <f>+ROUND(Návrh!J223,-3)/$X$2</f>
        <v>0</v>
      </c>
      <c r="J226" s="88" t="e">
        <f>+ROUND(Návrh!#REF!,-3)/$X$2</f>
        <v>#REF!</v>
      </c>
      <c r="K226" s="88">
        <f>+ROUND(Návrh!K223,-3)/$X$2</f>
        <v>98</v>
      </c>
      <c r="L226" s="88">
        <f>+ROUND(Návrh!L223,-3)/$X$2</f>
        <v>0</v>
      </c>
      <c r="M226" s="67"/>
    </row>
    <row r="227" spans="1:13" x14ac:dyDescent="0.25">
      <c r="A227" s="26" t="s">
        <v>1128</v>
      </c>
      <c r="B227" s="26"/>
      <c r="C227" s="23"/>
      <c r="D227" s="23"/>
      <c r="E227" s="379" t="s">
        <v>224</v>
      </c>
      <c r="F227" s="380"/>
      <c r="G227" s="92">
        <f>+ROUND(Návrh!H224,-3)/$X$2</f>
        <v>-62963</v>
      </c>
      <c r="H227" s="92">
        <f>+ROUND(Návrh!I224,-3)/$X$2</f>
        <v>-78213</v>
      </c>
      <c r="I227" s="92">
        <f>+ROUND(Návrh!J224,-3)/$X$2</f>
        <v>-90110</v>
      </c>
      <c r="J227" s="92" t="e">
        <f>+ROUND(Návrh!#REF!,-3)/$X$2</f>
        <v>#REF!</v>
      </c>
      <c r="K227" s="92">
        <f>+ROUND(Návrh!K224,-3)/$X$2</f>
        <v>-82617</v>
      </c>
      <c r="L227" s="92">
        <f>+ROUND(Návrh!L224,-3)/$X$2</f>
        <v>-86605</v>
      </c>
      <c r="M227" s="67"/>
    </row>
    <row r="228" spans="1:13" x14ac:dyDescent="0.25">
      <c r="A228" s="42" t="s">
        <v>1129</v>
      </c>
      <c r="B228" s="20" t="s">
        <v>916</v>
      </c>
      <c r="C228" s="20" t="s">
        <v>920</v>
      </c>
      <c r="D228" s="20" t="s">
        <v>1053</v>
      </c>
      <c r="E228" s="373" t="s">
        <v>225</v>
      </c>
      <c r="F228" s="374"/>
      <c r="G228" s="88">
        <f>+ROUND(Návrh!H225,-3)/$X$2</f>
        <v>-29565</v>
      </c>
      <c r="H228" s="88">
        <f>+ROUND(Návrh!I225,-3)/$X$2</f>
        <v>-37610</v>
      </c>
      <c r="I228" s="88">
        <f>+ROUND(Návrh!J225,-3)/$X$2</f>
        <v>-28700</v>
      </c>
      <c r="J228" s="88" t="e">
        <f>+ROUND(Návrh!#REF!,-3)/$X$2</f>
        <v>#REF!</v>
      </c>
      <c r="K228" s="88">
        <f>+ROUND(Návrh!K225,-3)/$X$2</f>
        <v>-28034</v>
      </c>
      <c r="L228" s="88">
        <f>+ROUND(Návrh!L225,-3)/$X$2</f>
        <v>-28700</v>
      </c>
      <c r="M228" s="67"/>
    </row>
    <row r="229" spans="1:13" x14ac:dyDescent="0.25">
      <c r="A229" s="42" t="s">
        <v>1130</v>
      </c>
      <c r="B229" s="20" t="s">
        <v>1654</v>
      </c>
      <c r="C229" s="20" t="s">
        <v>919</v>
      </c>
      <c r="D229" s="20" t="s">
        <v>1655</v>
      </c>
      <c r="E229" s="373" t="s">
        <v>226</v>
      </c>
      <c r="F229" s="374"/>
      <c r="G229" s="88">
        <f>+ROUND(Návrh!H226,-3)/$X$2</f>
        <v>-227</v>
      </c>
      <c r="H229" s="88">
        <f>+ROUND(Návrh!I226,-3)/$X$2</f>
        <v>-244</v>
      </c>
      <c r="I229" s="88">
        <f>+ROUND(Návrh!J226,-3)/$X$2</f>
        <v>-400</v>
      </c>
      <c r="J229" s="88" t="e">
        <f>+ROUND(Návrh!#REF!,-3)/$X$2</f>
        <v>#REF!</v>
      </c>
      <c r="K229" s="88">
        <f>+ROUND(Návrh!K226,-3)/$X$2</f>
        <v>-517</v>
      </c>
      <c r="L229" s="88">
        <f>+ROUND(Návrh!L226,-3)/$X$2</f>
        <v>-500</v>
      </c>
      <c r="M229" s="67"/>
    </row>
    <row r="230" spans="1:13" x14ac:dyDescent="0.25">
      <c r="A230" s="42" t="s">
        <v>1131</v>
      </c>
      <c r="B230" s="20" t="s">
        <v>916</v>
      </c>
      <c r="C230" s="20" t="s">
        <v>920</v>
      </c>
      <c r="D230" s="20" t="s">
        <v>1053</v>
      </c>
      <c r="E230" s="373" t="s">
        <v>227</v>
      </c>
      <c r="F230" s="374"/>
      <c r="G230" s="88">
        <f>+ROUND(Návrh!H227,-3)/$X$2</f>
        <v>-7029</v>
      </c>
      <c r="H230" s="88">
        <f>+ROUND(Návrh!I227,-3)/$X$2</f>
        <v>-9425</v>
      </c>
      <c r="I230" s="88">
        <f>+ROUND(Návrh!J227,-3)/$X$2</f>
        <v>-500</v>
      </c>
      <c r="J230" s="88" t="e">
        <f>+ROUND(Návrh!#REF!,-3)/$X$2</f>
        <v>#REF!</v>
      </c>
      <c r="K230" s="88">
        <f>+ROUND(Návrh!K227,-3)/$X$2</f>
        <v>-11863</v>
      </c>
      <c r="L230" s="88">
        <f>+ROUND(Návrh!L227,-3)/$X$2</f>
        <v>-500</v>
      </c>
      <c r="M230" s="67"/>
    </row>
    <row r="231" spans="1:13" x14ac:dyDescent="0.25">
      <c r="A231" s="42" t="s">
        <v>1132</v>
      </c>
      <c r="B231" s="20" t="s">
        <v>916</v>
      </c>
      <c r="C231" s="20" t="s">
        <v>923</v>
      </c>
      <c r="D231" s="20" t="s">
        <v>1648</v>
      </c>
      <c r="E231" s="373" t="s">
        <v>228</v>
      </c>
      <c r="F231" s="374"/>
      <c r="G231" s="88">
        <f>+ROUND(Návrh!H228,-3)/$X$2</f>
        <v>-13436</v>
      </c>
      <c r="H231" s="88">
        <f>+ROUND(Návrh!I228,-3)/$X$2</f>
        <v>-13024</v>
      </c>
      <c r="I231" s="88">
        <f>+ROUND(Návrh!J228,-3)/$X$2</f>
        <v>-36555</v>
      </c>
      <c r="J231" s="88" t="e">
        <f>+ROUND(Návrh!#REF!,-3)/$X$2</f>
        <v>#REF!</v>
      </c>
      <c r="K231" s="88">
        <f>+ROUND(Návrh!K228,-3)/$X$2</f>
        <v>-24231</v>
      </c>
      <c r="L231" s="88">
        <f>+ROUND(Návrh!L228,-3)/$X$2</f>
        <v>-18630</v>
      </c>
      <c r="M231" s="67"/>
    </row>
    <row r="232" spans="1:13" x14ac:dyDescent="0.25">
      <c r="A232" s="42" t="s">
        <v>1133</v>
      </c>
      <c r="B232" s="20" t="s">
        <v>916</v>
      </c>
      <c r="C232" s="20" t="s">
        <v>919</v>
      </c>
      <c r="D232" s="20" t="s">
        <v>1089</v>
      </c>
      <c r="E232" s="373" t="s">
        <v>229</v>
      </c>
      <c r="F232" s="374"/>
      <c r="G232" s="88">
        <f>+ROUND(Návrh!H229,-3)/$X$2</f>
        <v>-9712</v>
      </c>
      <c r="H232" s="88">
        <f>+ROUND(Návrh!I229,-3)/$X$2</f>
        <v>-14403</v>
      </c>
      <c r="I232" s="88">
        <f>+ROUND(Návrh!J229,-3)/$X$2</f>
        <v>-9700</v>
      </c>
      <c r="J232" s="88" t="e">
        <f>+ROUND(Návrh!#REF!,-3)/$X$2</f>
        <v>#REF!</v>
      </c>
      <c r="K232" s="88">
        <f>+ROUND(Návrh!K229,-3)/$X$2</f>
        <v>-12345</v>
      </c>
      <c r="L232" s="88">
        <f>+ROUND(Návrh!L229,-3)/$X$2</f>
        <v>-11000</v>
      </c>
      <c r="M232" s="67"/>
    </row>
    <row r="233" spans="1:13" x14ac:dyDescent="0.25">
      <c r="A233" s="42" t="s">
        <v>1134</v>
      </c>
      <c r="B233" s="20" t="s">
        <v>916</v>
      </c>
      <c r="C233" s="20" t="s">
        <v>920</v>
      </c>
      <c r="D233" s="20" t="s">
        <v>1053</v>
      </c>
      <c r="E233" s="373" t="s">
        <v>230</v>
      </c>
      <c r="F233" s="374"/>
      <c r="G233" s="88">
        <f>+ROUND(Návrh!H230,-3)/$X$2</f>
        <v>-106</v>
      </c>
      <c r="H233" s="88">
        <f>+ROUND(Návrh!I230,-3)/$X$2</f>
        <v>-108</v>
      </c>
      <c r="I233" s="88">
        <f>+ROUND(Návrh!J230,-3)/$X$2</f>
        <v>-80</v>
      </c>
      <c r="J233" s="88" t="e">
        <f>+ROUND(Návrh!#REF!,-3)/$X$2</f>
        <v>#REF!</v>
      </c>
      <c r="K233" s="88">
        <f>+ROUND(Návrh!K230,-3)/$X$2</f>
        <v>-118</v>
      </c>
      <c r="L233" s="88">
        <f>+ROUND(Návrh!L230,-3)/$X$2</f>
        <v>-700</v>
      </c>
      <c r="M233" s="67"/>
    </row>
    <row r="234" spans="1:13" x14ac:dyDescent="0.25">
      <c r="A234" s="42" t="s">
        <v>1135</v>
      </c>
      <c r="B234" s="20" t="s">
        <v>916</v>
      </c>
      <c r="C234" s="20" t="s">
        <v>919</v>
      </c>
      <c r="D234" s="20" t="s">
        <v>918</v>
      </c>
      <c r="E234" s="373" t="s">
        <v>231</v>
      </c>
      <c r="F234" s="374"/>
      <c r="G234" s="88">
        <f>+ROUND(Návrh!H231,-3)/$X$2</f>
        <v>-2636</v>
      </c>
      <c r="H234" s="88">
        <f>+ROUND(Návrh!I231,-3)/$X$2</f>
        <v>-2840</v>
      </c>
      <c r="I234" s="88">
        <f>+ROUND(Návrh!J231,-3)/$X$2</f>
        <v>-2600</v>
      </c>
      <c r="J234" s="88" t="e">
        <f>+ROUND(Návrh!#REF!,-3)/$X$2</f>
        <v>#REF!</v>
      </c>
      <c r="K234" s="88">
        <f>+ROUND(Návrh!K231,-3)/$X$2</f>
        <v>-2929</v>
      </c>
      <c r="L234" s="88">
        <f>+ROUND(Návrh!L231,-3)/$X$2</f>
        <v>-2900</v>
      </c>
      <c r="M234" s="67"/>
    </row>
    <row r="235" spans="1:13" x14ac:dyDescent="0.25">
      <c r="A235" s="42" t="s">
        <v>1136</v>
      </c>
      <c r="B235" s="20" t="s">
        <v>916</v>
      </c>
      <c r="C235" s="20" t="s">
        <v>919</v>
      </c>
      <c r="D235" s="20" t="s">
        <v>1649</v>
      </c>
      <c r="E235" s="373" t="s">
        <v>232</v>
      </c>
      <c r="F235" s="374"/>
      <c r="G235" s="88">
        <f>+ROUND(Návrh!H232,-3)/$X$2</f>
        <v>-208</v>
      </c>
      <c r="H235" s="88">
        <f>+ROUND(Návrh!I232,-3)/$X$2</f>
        <v>-500</v>
      </c>
      <c r="I235" s="88">
        <f>+ROUND(Návrh!J232,-3)/$X$2</f>
        <v>-350</v>
      </c>
      <c r="J235" s="88" t="e">
        <f>+ROUND(Návrh!#REF!,-3)/$X$2</f>
        <v>#REF!</v>
      </c>
      <c r="K235" s="88">
        <f>+ROUND(Návrh!K232,-3)/$X$2</f>
        <v>-667</v>
      </c>
      <c r="L235" s="88">
        <f>+ROUND(Návrh!L232,-3)/$X$2</f>
        <v>-1500</v>
      </c>
      <c r="M235" s="67"/>
    </row>
    <row r="236" spans="1:13" x14ac:dyDescent="0.25">
      <c r="A236" s="42" t="s">
        <v>1137</v>
      </c>
      <c r="B236" s="20" t="s">
        <v>1241</v>
      </c>
      <c r="C236" s="20" t="s">
        <v>920</v>
      </c>
      <c r="D236" s="20" t="s">
        <v>1242</v>
      </c>
      <c r="E236" s="373" t="s">
        <v>233</v>
      </c>
      <c r="F236" s="374"/>
      <c r="G236" s="88">
        <f>+ROUND(Návrh!H233,-3)/$X$2</f>
        <v>-44</v>
      </c>
      <c r="H236" s="88">
        <f>+ROUND(Návrh!I233,-3)/$X$2</f>
        <v>-60</v>
      </c>
      <c r="I236" s="88">
        <f>+ROUND(Návrh!J233,-3)/$X$2</f>
        <v>-1075</v>
      </c>
      <c r="J236" s="88" t="e">
        <f>+ROUND(Návrh!#REF!,-3)/$X$2</f>
        <v>#REF!</v>
      </c>
      <c r="K236" s="88">
        <f>+ROUND(Návrh!K233,-3)/$X$2</f>
        <v>-73</v>
      </c>
      <c r="L236" s="88">
        <f>+ROUND(Návrh!L233,-3)/$X$2</f>
        <v>-1275</v>
      </c>
      <c r="M236" s="67"/>
    </row>
    <row r="237" spans="1:13" x14ac:dyDescent="0.25">
      <c r="A237" s="42" t="s">
        <v>1138</v>
      </c>
      <c r="B237" s="20"/>
      <c r="C237" s="20"/>
      <c r="D237" s="20"/>
      <c r="E237" s="373" t="s">
        <v>93</v>
      </c>
      <c r="F237" s="374"/>
      <c r="G237" s="88">
        <f>+ROUND(Návrh!H234,-3)/$X$2</f>
        <v>0</v>
      </c>
      <c r="H237" s="88">
        <f>+ROUND(Návrh!I234,-3)/$X$2</f>
        <v>0</v>
      </c>
      <c r="I237" s="88">
        <f>+ROUND(Návrh!J234,-3)/$X$2</f>
        <v>-50</v>
      </c>
      <c r="J237" s="88" t="e">
        <f>+ROUND(Návrh!#REF!,-3)/$X$2</f>
        <v>#REF!</v>
      </c>
      <c r="K237" s="88">
        <f>+ROUND(Návrh!K234,-3)/$X$2</f>
        <v>-3</v>
      </c>
      <c r="L237" s="88">
        <f>+ROUND(Návrh!L234,-3)/$X$2</f>
        <v>0</v>
      </c>
      <c r="M237" s="67"/>
    </row>
    <row r="238" spans="1:13" x14ac:dyDescent="0.25">
      <c r="A238" s="42" t="s">
        <v>1139</v>
      </c>
      <c r="B238" s="20" t="s">
        <v>916</v>
      </c>
      <c r="C238" s="20" t="s">
        <v>919</v>
      </c>
      <c r="D238" s="20" t="s">
        <v>1649</v>
      </c>
      <c r="E238" s="359" t="s">
        <v>1679</v>
      </c>
      <c r="F238" s="360"/>
      <c r="G238" s="88">
        <f>+ROUND(Návrh!H235,-3)/$X$2</f>
        <v>0</v>
      </c>
      <c r="H238" s="88">
        <f>+ROUND(Návrh!I235,-3)/$X$2</f>
        <v>0</v>
      </c>
      <c r="I238" s="88">
        <f>+ROUND(Návrh!J235,-3)/$X$2</f>
        <v>-300</v>
      </c>
      <c r="J238" s="88" t="e">
        <f>+ROUND(Návrh!#REF!,-3)/$X$2</f>
        <v>#REF!</v>
      </c>
      <c r="K238" s="88">
        <f>+ROUND(Návrh!K235,-3)/$X$2</f>
        <v>-7</v>
      </c>
      <c r="L238" s="88">
        <f>+ROUND(Návrh!L235,-3)/$X$2</f>
        <v>-300</v>
      </c>
      <c r="M238" s="67"/>
    </row>
    <row r="239" spans="1:13" x14ac:dyDescent="0.25">
      <c r="A239" s="42" t="s">
        <v>1140</v>
      </c>
      <c r="B239" s="20" t="s">
        <v>916</v>
      </c>
      <c r="C239" s="20" t="s">
        <v>919</v>
      </c>
      <c r="D239" s="20" t="s">
        <v>1649</v>
      </c>
      <c r="E239" s="359" t="s">
        <v>1680</v>
      </c>
      <c r="F239" s="360"/>
      <c r="G239" s="88">
        <f>+ROUND(Návrh!H236,-3)/$X$2</f>
        <v>0</v>
      </c>
      <c r="H239" s="88">
        <f>+ROUND(Návrh!I236,-3)/$X$2</f>
        <v>0</v>
      </c>
      <c r="I239" s="88">
        <f>+ROUND(Návrh!J236,-3)/$X$2</f>
        <v>-7400</v>
      </c>
      <c r="J239" s="88" t="e">
        <f>+ROUND(Návrh!#REF!,-3)/$X$2</f>
        <v>#REF!</v>
      </c>
      <c r="K239" s="88">
        <f>+ROUND(Návrh!K236,-3)/$X$2</f>
        <v>-1008</v>
      </c>
      <c r="L239" s="88">
        <f>+ROUND(Návrh!L236,-3)/$X$2</f>
        <v>-18100</v>
      </c>
      <c r="M239" s="67"/>
    </row>
    <row r="240" spans="1:13" x14ac:dyDescent="0.25">
      <c r="A240" s="42" t="s">
        <v>1141</v>
      </c>
      <c r="B240" s="20" t="s">
        <v>916</v>
      </c>
      <c r="C240" s="20" t="s">
        <v>919</v>
      </c>
      <c r="D240" s="20" t="s">
        <v>1649</v>
      </c>
      <c r="E240" s="359" t="s">
        <v>1681</v>
      </c>
      <c r="F240" s="360"/>
      <c r="G240" s="88">
        <f>+ROUND(Návrh!H237,-3)/$X$2</f>
        <v>0</v>
      </c>
      <c r="H240" s="88">
        <f>+ROUND(Návrh!I237,-3)/$X$2</f>
        <v>0</v>
      </c>
      <c r="I240" s="88">
        <f>+ROUND(Návrh!J237,-3)/$X$2</f>
        <v>-2400</v>
      </c>
      <c r="J240" s="88" t="e">
        <f>+ROUND(Návrh!#REF!,-3)/$X$2</f>
        <v>#REF!</v>
      </c>
      <c r="K240" s="88">
        <f>+ROUND(Návrh!K237,-3)/$X$2</f>
        <v>-821</v>
      </c>
      <c r="L240" s="88">
        <f>+ROUND(Návrh!L237,-3)/$X$2</f>
        <v>-2500</v>
      </c>
      <c r="M240" s="67"/>
    </row>
    <row r="241" spans="1:13" x14ac:dyDescent="0.25">
      <c r="A241" s="26" t="s">
        <v>1142</v>
      </c>
      <c r="B241" s="26"/>
      <c r="C241" s="23"/>
      <c r="D241" s="23"/>
      <c r="E241" s="379" t="s">
        <v>234</v>
      </c>
      <c r="F241" s="380"/>
      <c r="G241" s="92">
        <f>+ROUND(Návrh!H238,-3)/$X$2</f>
        <v>-113</v>
      </c>
      <c r="H241" s="92">
        <f>+ROUND(Návrh!I238,-3)/$X$2</f>
        <v>-173</v>
      </c>
      <c r="I241" s="92">
        <f>+ROUND(Návrh!J238,-3)/$X$2</f>
        <v>0</v>
      </c>
      <c r="J241" s="92" t="e">
        <f>+ROUND(Návrh!#REF!,-3)/$X$2</f>
        <v>#REF!</v>
      </c>
      <c r="K241" s="92">
        <f>+ROUND(Návrh!K238,-3)/$X$2</f>
        <v>-98</v>
      </c>
      <c r="L241" s="92">
        <f>+ROUND(Návrh!L238,-3)/$X$2</f>
        <v>0</v>
      </c>
      <c r="M241" s="67"/>
    </row>
    <row r="242" spans="1:13" x14ac:dyDescent="0.25">
      <c r="A242" s="42" t="s">
        <v>1143</v>
      </c>
      <c r="B242" s="14"/>
      <c r="C242" s="13"/>
      <c r="D242" s="13"/>
      <c r="E242" s="373" t="s">
        <v>235</v>
      </c>
      <c r="F242" s="374"/>
      <c r="G242" s="88">
        <f>+ROUND(Návrh!H239,-3)/$X$2</f>
        <v>-113</v>
      </c>
      <c r="H242" s="88">
        <f>+ROUND(Návrh!I239,-3)/$X$2</f>
        <v>-173</v>
      </c>
      <c r="I242" s="88">
        <f>+ROUND(Návrh!J239,-3)/$X$2</f>
        <v>0</v>
      </c>
      <c r="J242" s="88" t="e">
        <f>+ROUND(Návrh!#REF!,-3)/$X$2</f>
        <v>#REF!</v>
      </c>
      <c r="K242" s="88">
        <f>+ROUND(Návrh!K239,-3)/$X$2</f>
        <v>-98</v>
      </c>
      <c r="L242" s="88">
        <f>+ROUND(Návrh!L239,-3)/$X$2</f>
        <v>0</v>
      </c>
      <c r="M242" s="67"/>
    </row>
    <row r="243" spans="1:13" x14ac:dyDescent="0.25">
      <c r="A243" s="42" t="s">
        <v>1144</v>
      </c>
      <c r="B243" s="14"/>
      <c r="C243" s="13"/>
      <c r="D243" s="13"/>
      <c r="E243" s="373" t="s">
        <v>236</v>
      </c>
      <c r="F243" s="374"/>
      <c r="G243" s="88">
        <f>+ROUND(Návrh!H240,-3)/$X$2</f>
        <v>0</v>
      </c>
      <c r="H243" s="88">
        <f>+ROUND(Návrh!I240,-3)/$X$2</f>
        <v>0</v>
      </c>
      <c r="I243" s="88">
        <f>+ROUND(Návrh!J240,-3)/$X$2</f>
        <v>0</v>
      </c>
      <c r="J243" s="88" t="e">
        <f>+ROUND(Návrh!#REF!,-3)/$X$2</f>
        <v>#REF!</v>
      </c>
      <c r="K243" s="88">
        <f>+ROUND(Návrh!K240,-3)/$X$2</f>
        <v>0</v>
      </c>
      <c r="L243" s="88">
        <f>+ROUND(Návrh!L240,-3)/$X$2</f>
        <v>0</v>
      </c>
      <c r="M243" s="67"/>
    </row>
    <row r="244" spans="1:13" x14ac:dyDescent="0.25">
      <c r="A244" s="38" t="s">
        <v>237</v>
      </c>
      <c r="B244" s="38"/>
      <c r="C244" s="22"/>
      <c r="D244" s="22"/>
      <c r="E244" s="385" t="s">
        <v>238</v>
      </c>
      <c r="F244" s="386"/>
      <c r="G244" s="91">
        <f>+ROUND(Návrh!H241,-3)/$X$2</f>
        <v>-8017</v>
      </c>
      <c r="H244" s="91">
        <f>+ROUND(Návrh!I241,-3)/$X$2</f>
        <v>-8743</v>
      </c>
      <c r="I244" s="91">
        <f>+ROUND(Návrh!J241,-3)/$X$2</f>
        <v>-7770</v>
      </c>
      <c r="J244" s="91" t="e">
        <f>+ROUND(Návrh!#REF!,-3)/$X$2</f>
        <v>#REF!</v>
      </c>
      <c r="K244" s="91">
        <f>+ROUND(Návrh!K241,-3)/$X$2</f>
        <v>-10374</v>
      </c>
      <c r="L244" s="91">
        <f>+ROUND(Návrh!L241,-3)/$X$2</f>
        <v>-9545</v>
      </c>
      <c r="M244" s="67"/>
    </row>
    <row r="245" spans="1:13" x14ac:dyDescent="0.25">
      <c r="A245" s="26" t="s">
        <v>1145</v>
      </c>
      <c r="B245" s="26"/>
      <c r="C245" s="23"/>
      <c r="D245" s="23"/>
      <c r="E245" s="379" t="s">
        <v>239</v>
      </c>
      <c r="F245" s="380"/>
      <c r="G245" s="92">
        <f>+ROUND(Návrh!H242,-3)/$X$2</f>
        <v>-3533</v>
      </c>
      <c r="H245" s="92">
        <f>+ROUND(Návrh!I242,-3)/$X$2</f>
        <v>-3884</v>
      </c>
      <c r="I245" s="92">
        <f>+ROUND(Návrh!J242,-3)/$X$2</f>
        <v>-3800</v>
      </c>
      <c r="J245" s="92" t="e">
        <f>+ROUND(Návrh!#REF!,-3)/$X$2</f>
        <v>#REF!</v>
      </c>
      <c r="K245" s="92">
        <f>+ROUND(Návrh!K242,-3)/$X$2</f>
        <v>-4082</v>
      </c>
      <c r="L245" s="92">
        <f>+ROUND(Návrh!L242,-3)/$X$2</f>
        <v>-3890</v>
      </c>
      <c r="M245" s="67"/>
    </row>
    <row r="246" spans="1:13" x14ac:dyDescent="0.25">
      <c r="A246" s="42" t="s">
        <v>1146</v>
      </c>
      <c r="B246" s="20" t="s">
        <v>1432</v>
      </c>
      <c r="C246" s="20" t="s">
        <v>920</v>
      </c>
      <c r="D246" s="20" t="s">
        <v>1244</v>
      </c>
      <c r="E246" s="373" t="s">
        <v>240</v>
      </c>
      <c r="F246" s="374"/>
      <c r="G246" s="88">
        <f>+ROUND(Návrh!H243,-3)/$X$2</f>
        <v>-2809</v>
      </c>
      <c r="H246" s="88">
        <f>+ROUND(Návrh!I243,-3)/$X$2</f>
        <v>-3253</v>
      </c>
      <c r="I246" s="88">
        <f>+ROUND(Návrh!J243,-3)/$X$2</f>
        <v>-3800</v>
      </c>
      <c r="J246" s="88" t="e">
        <f>+ROUND(Návrh!#REF!,-3)/$X$2</f>
        <v>#REF!</v>
      </c>
      <c r="K246" s="88">
        <f>+ROUND(Návrh!K243,-3)/$X$2</f>
        <v>-3447</v>
      </c>
      <c r="L246" s="88">
        <f>+ROUND(Návrh!L243,-3)/$X$2</f>
        <v>-3890</v>
      </c>
      <c r="M246" s="67"/>
    </row>
    <row r="247" spans="1:13" x14ac:dyDescent="0.25">
      <c r="A247" s="42" t="s">
        <v>1147</v>
      </c>
      <c r="B247" s="20" t="s">
        <v>1432</v>
      </c>
      <c r="C247" s="20" t="s">
        <v>920</v>
      </c>
      <c r="D247" s="20" t="s">
        <v>1244</v>
      </c>
      <c r="E247" s="373" t="s">
        <v>241</v>
      </c>
      <c r="F247" s="374"/>
      <c r="G247" s="88">
        <f>+ROUND(Návrh!H244,-3)/$X$2</f>
        <v>-724</v>
      </c>
      <c r="H247" s="88">
        <f>+ROUND(Návrh!I244,-3)/$X$2</f>
        <v>-631</v>
      </c>
      <c r="I247" s="88">
        <f>+ROUND(Návrh!J244,-3)/$X$2</f>
        <v>0</v>
      </c>
      <c r="J247" s="88" t="e">
        <f>+ROUND(Návrh!#REF!,-3)/$X$2</f>
        <v>#REF!</v>
      </c>
      <c r="K247" s="88">
        <f>+ROUND(Návrh!K244,-3)/$X$2</f>
        <v>-634</v>
      </c>
      <c r="L247" s="88">
        <f>+ROUND(Návrh!L244,-3)/$X$2</f>
        <v>0</v>
      </c>
      <c r="M247" s="67"/>
    </row>
    <row r="248" spans="1:13" x14ac:dyDescent="0.25">
      <c r="A248" s="26" t="s">
        <v>1148</v>
      </c>
      <c r="B248" s="26"/>
      <c r="C248" s="23"/>
      <c r="D248" s="23"/>
      <c r="E248" s="379" t="s">
        <v>242</v>
      </c>
      <c r="F248" s="380"/>
      <c r="G248" s="92">
        <f>+ROUND(Návrh!H245,-3)/$X$2</f>
        <v>-682</v>
      </c>
      <c r="H248" s="92">
        <f>+ROUND(Návrh!I245,-3)/$X$2</f>
        <v>-676</v>
      </c>
      <c r="I248" s="92">
        <f>+ROUND(Návrh!J245,-3)/$X$2</f>
        <v>-670</v>
      </c>
      <c r="J248" s="92" t="e">
        <f>+ROUND(Návrh!#REF!,-3)/$X$2</f>
        <v>#REF!</v>
      </c>
      <c r="K248" s="92">
        <f>+ROUND(Návrh!K245,-3)/$X$2</f>
        <v>-653</v>
      </c>
      <c r="L248" s="92">
        <f>+ROUND(Návrh!L245,-3)/$X$2</f>
        <v>-647</v>
      </c>
      <c r="M248" s="67"/>
    </row>
    <row r="249" spans="1:13" x14ac:dyDescent="0.25">
      <c r="A249" s="42" t="s">
        <v>1149</v>
      </c>
      <c r="B249" s="27" t="s">
        <v>916</v>
      </c>
      <c r="C249" s="28" t="s">
        <v>919</v>
      </c>
      <c r="D249" s="28" t="s">
        <v>917</v>
      </c>
      <c r="E249" s="373" t="s">
        <v>243</v>
      </c>
      <c r="F249" s="374"/>
      <c r="G249" s="88">
        <f>+ROUND(Návrh!H246,-3)/$X$2</f>
        <v>-682</v>
      </c>
      <c r="H249" s="88">
        <f>+ROUND(Návrh!I246,-3)/$X$2</f>
        <v>-676</v>
      </c>
      <c r="I249" s="88">
        <f>+ROUND(Návrh!J246,-3)/$X$2</f>
        <v>-670</v>
      </c>
      <c r="J249" s="88" t="e">
        <f>+ROUND(Návrh!#REF!,-3)/$X$2</f>
        <v>#REF!</v>
      </c>
      <c r="K249" s="88">
        <f>+ROUND(Návrh!K246,-3)/$X$2</f>
        <v>-653</v>
      </c>
      <c r="L249" s="88">
        <f>+ROUND(Návrh!L246,-3)/$X$2</f>
        <v>-647</v>
      </c>
      <c r="M249" s="67"/>
    </row>
    <row r="250" spans="1:13" x14ac:dyDescent="0.25">
      <c r="A250" s="26" t="s">
        <v>1150</v>
      </c>
      <c r="B250" s="26"/>
      <c r="C250" s="23"/>
      <c r="D250" s="23"/>
      <c r="E250" s="379" t="s">
        <v>244</v>
      </c>
      <c r="F250" s="380"/>
      <c r="G250" s="92">
        <f>+ROUND(Návrh!H247,-3)/$X$2</f>
        <v>-2852</v>
      </c>
      <c r="H250" s="92">
        <f>+ROUND(Návrh!I247,-3)/$X$2</f>
        <v>-3318</v>
      </c>
      <c r="I250" s="92">
        <f>+ROUND(Návrh!J247,-3)/$X$2</f>
        <v>-2300</v>
      </c>
      <c r="J250" s="92" t="e">
        <f>+ROUND(Návrh!#REF!,-3)/$X$2</f>
        <v>#REF!</v>
      </c>
      <c r="K250" s="92">
        <f>+ROUND(Návrh!K247,-3)/$X$2</f>
        <v>-4594</v>
      </c>
      <c r="L250" s="92">
        <f>+ROUND(Návrh!L247,-3)/$X$2</f>
        <v>-4008</v>
      </c>
      <c r="M250" s="67"/>
    </row>
    <row r="251" spans="1:13" x14ac:dyDescent="0.25">
      <c r="A251" s="42" t="s">
        <v>1151</v>
      </c>
      <c r="B251" s="20" t="s">
        <v>1243</v>
      </c>
      <c r="C251" s="20" t="s">
        <v>920</v>
      </c>
      <c r="D251" s="20" t="s">
        <v>1245</v>
      </c>
      <c r="E251" s="373" t="s">
        <v>245</v>
      </c>
      <c r="F251" s="374"/>
      <c r="G251" s="88">
        <f>+ROUND(Návrh!H248,-3)/$X$2</f>
        <v>-1629</v>
      </c>
      <c r="H251" s="88">
        <f>+ROUND(Návrh!I248,-3)/$X$2</f>
        <v>-1950</v>
      </c>
      <c r="I251" s="88">
        <f>+ROUND(Návrh!J248,-3)/$X$2</f>
        <v>-2300</v>
      </c>
      <c r="J251" s="88" t="e">
        <f>+ROUND(Návrh!#REF!,-3)/$X$2</f>
        <v>#REF!</v>
      </c>
      <c r="K251" s="88">
        <f>+ROUND(Návrh!K248,-3)/$X$2</f>
        <v>-2557</v>
      </c>
      <c r="L251" s="88">
        <f>+ROUND(Návrh!L248,-3)/$X$2</f>
        <v>-4008</v>
      </c>
      <c r="M251" s="67"/>
    </row>
    <row r="252" spans="1:13" x14ac:dyDescent="0.25">
      <c r="A252" s="42" t="s">
        <v>1152</v>
      </c>
      <c r="B252" s="20" t="s">
        <v>1243</v>
      </c>
      <c r="C252" s="20" t="s">
        <v>920</v>
      </c>
      <c r="D252" s="20" t="s">
        <v>1245</v>
      </c>
      <c r="E252" s="373" t="s">
        <v>246</v>
      </c>
      <c r="F252" s="374"/>
      <c r="G252" s="88">
        <f>+ROUND(Návrh!H249,-3)/$X$2</f>
        <v>-1222</v>
      </c>
      <c r="H252" s="88">
        <f>+ROUND(Návrh!I249,-3)/$X$2</f>
        <v>-1368</v>
      </c>
      <c r="I252" s="88">
        <f>+ROUND(Návrh!J249,-3)/$X$2</f>
        <v>0</v>
      </c>
      <c r="J252" s="88" t="e">
        <f>+ROUND(Návrh!#REF!,-3)/$X$2</f>
        <v>#REF!</v>
      </c>
      <c r="K252" s="88">
        <f>+ROUND(Návrh!K249,-3)/$X$2</f>
        <v>-2037</v>
      </c>
      <c r="L252" s="88">
        <f>+ROUND(Návrh!L249,-3)/$X$2</f>
        <v>0</v>
      </c>
      <c r="M252" s="67"/>
    </row>
    <row r="253" spans="1:13" x14ac:dyDescent="0.25">
      <c r="A253" s="26" t="s">
        <v>1153</v>
      </c>
      <c r="B253" s="26"/>
      <c r="C253" s="23"/>
      <c r="D253" s="23"/>
      <c r="E253" s="379" t="s">
        <v>247</v>
      </c>
      <c r="F253" s="380"/>
      <c r="G253" s="92">
        <f>+ROUND(Návrh!H250,-3)/$X$2</f>
        <v>-950</v>
      </c>
      <c r="H253" s="92">
        <f>+ROUND(Návrh!I250,-3)/$X$2</f>
        <v>-865</v>
      </c>
      <c r="I253" s="92">
        <f>+ROUND(Návrh!J250,-3)/$X$2</f>
        <v>-1000</v>
      </c>
      <c r="J253" s="92" t="e">
        <f>+ROUND(Návrh!#REF!,-3)/$X$2</f>
        <v>#REF!</v>
      </c>
      <c r="K253" s="92">
        <f>+ROUND(Návrh!K250,-3)/$X$2</f>
        <v>-1045</v>
      </c>
      <c r="L253" s="92">
        <f>+ROUND(Návrh!L250,-3)/$X$2</f>
        <v>-1000</v>
      </c>
      <c r="M253" s="67"/>
    </row>
    <row r="254" spans="1:13" x14ac:dyDescent="0.25">
      <c r="A254" s="42" t="s">
        <v>1154</v>
      </c>
      <c r="B254" s="20" t="s">
        <v>916</v>
      </c>
      <c r="C254" s="20" t="s">
        <v>920</v>
      </c>
      <c r="D254" s="20" t="s">
        <v>917</v>
      </c>
      <c r="E254" s="373" t="s">
        <v>248</v>
      </c>
      <c r="F254" s="374"/>
      <c r="G254" s="88">
        <f>+ROUND(Návrh!H251,-3)/$X$2</f>
        <v>-950</v>
      </c>
      <c r="H254" s="88">
        <f>+ROUND(Návrh!I251,-3)/$X$2</f>
        <v>-865</v>
      </c>
      <c r="I254" s="88">
        <f>+ROUND(Návrh!J251,-3)/$X$2</f>
        <v>-1000</v>
      </c>
      <c r="J254" s="88" t="e">
        <f>+ROUND(Návrh!#REF!,-3)/$X$2</f>
        <v>#REF!</v>
      </c>
      <c r="K254" s="88">
        <f>+ROUND(Návrh!K251,-3)/$X$2</f>
        <v>-1045</v>
      </c>
      <c r="L254" s="88">
        <f>+ROUND(Návrh!L251,-3)/$X$2</f>
        <v>-1000</v>
      </c>
      <c r="M254" s="67"/>
    </row>
    <row r="255" spans="1:13" x14ac:dyDescent="0.25">
      <c r="A255" s="38" t="s">
        <v>249</v>
      </c>
      <c r="B255" s="38"/>
      <c r="C255" s="22"/>
      <c r="D255" s="22"/>
      <c r="E255" s="385" t="s">
        <v>250</v>
      </c>
      <c r="F255" s="386"/>
      <c r="G255" s="91">
        <f>+ROUND(Návrh!H252,-3)/$X$2</f>
        <v>-252</v>
      </c>
      <c r="H255" s="91">
        <f>+ROUND(Návrh!I252,-3)/$X$2</f>
        <v>-206</v>
      </c>
      <c r="I255" s="91">
        <f>+ROUND(Návrh!J252,-3)/$X$2</f>
        <v>-400</v>
      </c>
      <c r="J255" s="91" t="e">
        <f>+ROUND(Návrh!#REF!,-3)/$X$2</f>
        <v>#REF!</v>
      </c>
      <c r="K255" s="91">
        <f>+ROUND(Návrh!K252,-3)/$X$2</f>
        <v>-186</v>
      </c>
      <c r="L255" s="91">
        <f>+ROUND(Návrh!L252,-3)/$X$2</f>
        <v>-250</v>
      </c>
      <c r="M255" s="67"/>
    </row>
    <row r="256" spans="1:13" x14ac:dyDescent="0.25">
      <c r="A256" s="26" t="s">
        <v>1155</v>
      </c>
      <c r="B256" s="26"/>
      <c r="C256" s="23"/>
      <c r="D256" s="23"/>
      <c r="E256" s="379" t="s">
        <v>251</v>
      </c>
      <c r="F256" s="380"/>
      <c r="G256" s="92">
        <f>+ROUND(Návrh!H253,-3)/$X$2</f>
        <v>-252</v>
      </c>
      <c r="H256" s="92">
        <f>+ROUND(Návrh!I253,-3)/$X$2</f>
        <v>-206</v>
      </c>
      <c r="I256" s="92">
        <f>+ROUND(Návrh!J253,-3)/$X$2</f>
        <v>-400</v>
      </c>
      <c r="J256" s="92" t="e">
        <f>+ROUND(Návrh!#REF!,-3)/$X$2</f>
        <v>#REF!</v>
      </c>
      <c r="K256" s="92">
        <f>+ROUND(Návrh!K253,-3)/$X$2</f>
        <v>-186</v>
      </c>
      <c r="L256" s="92">
        <f>+ROUND(Návrh!L253,-3)/$X$2</f>
        <v>-250</v>
      </c>
      <c r="M256" s="67"/>
    </row>
    <row r="257" spans="1:13" x14ac:dyDescent="0.25">
      <c r="A257" s="42" t="s">
        <v>1156</v>
      </c>
      <c r="B257" s="27" t="s">
        <v>916</v>
      </c>
      <c r="C257" s="28" t="s">
        <v>920</v>
      </c>
      <c r="D257" s="28" t="s">
        <v>917</v>
      </c>
      <c r="E257" s="373" t="s">
        <v>252</v>
      </c>
      <c r="F257" s="374"/>
      <c r="G257" s="88">
        <f>+ROUND(Návrh!H254,-3)/$X$2</f>
        <v>-224</v>
      </c>
      <c r="H257" s="88">
        <f>+ROUND(Návrh!I254,-3)/$X$2</f>
        <v>-173</v>
      </c>
      <c r="I257" s="88">
        <f>+ROUND(Návrh!J254,-3)/$X$2</f>
        <v>-250</v>
      </c>
      <c r="J257" s="88" t="e">
        <f>+ROUND(Návrh!#REF!,-3)/$X$2</f>
        <v>#REF!</v>
      </c>
      <c r="K257" s="88">
        <f>+ROUND(Návrh!K254,-3)/$X$2</f>
        <v>-167</v>
      </c>
      <c r="L257" s="88">
        <f>+ROUND(Návrh!L254,-3)/$X$2</f>
        <v>-200</v>
      </c>
      <c r="M257" s="67"/>
    </row>
    <row r="258" spans="1:13" x14ac:dyDescent="0.25">
      <c r="A258" s="42" t="s">
        <v>1157</v>
      </c>
      <c r="B258" s="27" t="s">
        <v>916</v>
      </c>
      <c r="C258" s="28" t="s">
        <v>920</v>
      </c>
      <c r="D258" s="28" t="s">
        <v>917</v>
      </c>
      <c r="E258" s="373" t="s">
        <v>253</v>
      </c>
      <c r="F258" s="374"/>
      <c r="G258" s="88">
        <f>+ROUND(Návrh!H255,-3)/$X$2</f>
        <v>-28</v>
      </c>
      <c r="H258" s="88">
        <f>+ROUND(Návrh!I255,-3)/$X$2</f>
        <v>-33</v>
      </c>
      <c r="I258" s="88">
        <f>+ROUND(Návrh!J255,-3)/$X$2</f>
        <v>-150</v>
      </c>
      <c r="J258" s="88" t="e">
        <f>+ROUND(Návrh!#REF!,-3)/$X$2</f>
        <v>#REF!</v>
      </c>
      <c r="K258" s="88">
        <f>+ROUND(Návrh!K255,-3)/$X$2</f>
        <v>-20</v>
      </c>
      <c r="L258" s="88">
        <f>+ROUND(Návrh!L255,-3)/$X$2</f>
        <v>-50</v>
      </c>
      <c r="M258" s="67"/>
    </row>
    <row r="259" spans="1:13" x14ac:dyDescent="0.25">
      <c r="A259" s="38" t="s">
        <v>254</v>
      </c>
      <c r="B259" s="38"/>
      <c r="C259" s="22"/>
      <c r="D259" s="22"/>
      <c r="E259" s="385" t="s">
        <v>255</v>
      </c>
      <c r="F259" s="386"/>
      <c r="G259" s="91">
        <f>+ROUND(Návrh!H256,-3)/$X$2</f>
        <v>-172834</v>
      </c>
      <c r="H259" s="91">
        <f>+ROUND(Návrh!I256,-3)/$X$2</f>
        <v>-177278</v>
      </c>
      <c r="I259" s="91">
        <f>+ROUND(Návrh!J256,-3)/$X$2</f>
        <v>-211456</v>
      </c>
      <c r="J259" s="91" t="e">
        <f>+ROUND(Návrh!#REF!,-3)/$X$2</f>
        <v>#REF!</v>
      </c>
      <c r="K259" s="91">
        <f>+ROUND(Návrh!K256,-3)/$X$2</f>
        <v>-242326</v>
      </c>
      <c r="L259" s="91">
        <f>+ROUND(Návrh!L256,-3)/$X$2</f>
        <v>-278189</v>
      </c>
      <c r="M259" s="67"/>
    </row>
    <row r="260" spans="1:13" x14ac:dyDescent="0.25">
      <c r="A260" s="26" t="s">
        <v>1158</v>
      </c>
      <c r="B260" s="26"/>
      <c r="C260" s="23"/>
      <c r="D260" s="23"/>
      <c r="E260" s="379" t="s">
        <v>256</v>
      </c>
      <c r="F260" s="380"/>
      <c r="G260" s="92">
        <f>+ROUND(Návrh!H257,-3)/$X$2</f>
        <v>59</v>
      </c>
      <c r="H260" s="92">
        <f>+ROUND(Návrh!I257,-3)/$X$2</f>
        <v>37</v>
      </c>
      <c r="I260" s="92">
        <f>+ROUND(Návrh!J257,-3)/$X$2</f>
        <v>0</v>
      </c>
      <c r="J260" s="92" t="e">
        <f>+ROUND(Návrh!#REF!,-3)/$X$2</f>
        <v>#REF!</v>
      </c>
      <c r="K260" s="92">
        <f>+ROUND(Návrh!K257,-3)/$X$2</f>
        <v>48</v>
      </c>
      <c r="L260" s="92">
        <f>+ROUND(Návrh!L257,-3)/$X$2</f>
        <v>0</v>
      </c>
      <c r="M260" s="67"/>
    </row>
    <row r="261" spans="1:13" x14ac:dyDescent="0.25">
      <c r="A261" s="42" t="s">
        <v>1159</v>
      </c>
      <c r="B261" s="14"/>
      <c r="C261" s="13"/>
      <c r="D261" s="13"/>
      <c r="E261" s="373" t="s">
        <v>257</v>
      </c>
      <c r="F261" s="374"/>
      <c r="G261" s="88">
        <f>+ROUND(Návrh!H258,-3)/$X$2</f>
        <v>59</v>
      </c>
      <c r="H261" s="88">
        <f>+ROUND(Návrh!I258,-3)/$X$2</f>
        <v>37</v>
      </c>
      <c r="I261" s="88">
        <f>+ROUND(Návrh!J258,-3)/$X$2</f>
        <v>0</v>
      </c>
      <c r="J261" s="88" t="e">
        <f>+ROUND(Návrh!#REF!,-3)/$X$2</f>
        <v>#REF!</v>
      </c>
      <c r="K261" s="88">
        <f>+ROUND(Návrh!K258,-3)/$X$2</f>
        <v>48</v>
      </c>
      <c r="L261" s="88">
        <f>+ROUND(Návrh!L258,-3)/$X$2</f>
        <v>0</v>
      </c>
      <c r="M261" s="67"/>
    </row>
    <row r="262" spans="1:13" x14ac:dyDescent="0.25">
      <c r="A262" s="26" t="s">
        <v>1160</v>
      </c>
      <c r="B262" s="26"/>
      <c r="C262" s="23"/>
      <c r="D262" s="23"/>
      <c r="E262" s="379" t="s">
        <v>258</v>
      </c>
      <c r="F262" s="380"/>
      <c r="G262" s="92">
        <f>+ROUND(Návrh!H259,-3)/$X$2</f>
        <v>-359</v>
      </c>
      <c r="H262" s="92">
        <f>+ROUND(Návrh!I259,-3)/$X$2</f>
        <v>-585</v>
      </c>
      <c r="I262" s="92">
        <f>+ROUND(Návrh!J259,-3)/$X$2</f>
        <v>-550</v>
      </c>
      <c r="J262" s="92" t="e">
        <f>+ROUND(Návrh!#REF!,-3)/$X$2</f>
        <v>#REF!</v>
      </c>
      <c r="K262" s="92">
        <f>+ROUND(Návrh!K259,-3)/$X$2</f>
        <v>-573</v>
      </c>
      <c r="L262" s="92">
        <f>+ROUND(Návrh!L259,-3)/$X$2</f>
        <v>-500</v>
      </c>
      <c r="M262" s="67"/>
    </row>
    <row r="263" spans="1:13" x14ac:dyDescent="0.25">
      <c r="A263" s="42" t="s">
        <v>1161</v>
      </c>
      <c r="B263" s="27" t="s">
        <v>916</v>
      </c>
      <c r="C263" s="28" t="s">
        <v>919</v>
      </c>
      <c r="D263" s="28" t="s">
        <v>917</v>
      </c>
      <c r="E263" s="373" t="s">
        <v>259</v>
      </c>
      <c r="F263" s="374"/>
      <c r="G263" s="88">
        <f>+ROUND(Návrh!H260,-3)/$X$2</f>
        <v>-359</v>
      </c>
      <c r="H263" s="88">
        <f>+ROUND(Návrh!I260,-3)/$X$2</f>
        <v>-585</v>
      </c>
      <c r="I263" s="88">
        <f>+ROUND(Návrh!J260,-3)/$X$2</f>
        <v>-550</v>
      </c>
      <c r="J263" s="88" t="e">
        <f>+ROUND(Návrh!#REF!,-3)/$X$2</f>
        <v>#REF!</v>
      </c>
      <c r="K263" s="88">
        <f>+ROUND(Návrh!K260,-3)/$X$2</f>
        <v>-573</v>
      </c>
      <c r="L263" s="88">
        <f>+ROUND(Návrh!L260,-3)/$X$2</f>
        <v>-500</v>
      </c>
      <c r="M263" s="67"/>
    </row>
    <row r="264" spans="1:13" x14ac:dyDescent="0.25">
      <c r="A264" s="26" t="s">
        <v>1162</v>
      </c>
      <c r="B264" s="26"/>
      <c r="C264" s="23"/>
      <c r="D264" s="23"/>
      <c r="E264" s="379" t="s">
        <v>260</v>
      </c>
      <c r="F264" s="380"/>
      <c r="G264" s="92">
        <f>+ROUND(Návrh!H261,-3)/$X$2</f>
        <v>-3231</v>
      </c>
      <c r="H264" s="92">
        <f>+ROUND(Návrh!I261,-3)/$X$2</f>
        <v>-3212</v>
      </c>
      <c r="I264" s="92">
        <f>+ROUND(Návrh!J261,-3)/$X$2</f>
        <v>-3260</v>
      </c>
      <c r="J264" s="92" t="e">
        <f>+ROUND(Návrh!#REF!,-3)/$X$2</f>
        <v>#REF!</v>
      </c>
      <c r="K264" s="92">
        <f>+ROUND(Návrh!K261,-3)/$X$2</f>
        <v>-3228</v>
      </c>
      <c r="L264" s="92">
        <f>+ROUND(Návrh!L261,-3)/$X$2</f>
        <v>-3400</v>
      </c>
      <c r="M264" s="67"/>
    </row>
    <row r="265" spans="1:13" x14ac:dyDescent="0.25">
      <c r="A265" s="42" t="s">
        <v>1163</v>
      </c>
      <c r="B265" s="28" t="s">
        <v>916</v>
      </c>
      <c r="C265" s="28" t="s">
        <v>923</v>
      </c>
      <c r="D265" s="28" t="s">
        <v>917</v>
      </c>
      <c r="E265" s="373" t="s">
        <v>261</v>
      </c>
      <c r="F265" s="374"/>
      <c r="G265" s="88">
        <f>+ROUND(Návrh!H262,-3)/$X$2</f>
        <v>-1481</v>
      </c>
      <c r="H265" s="88">
        <f>+ROUND(Návrh!I262,-3)/$X$2</f>
        <v>-1396</v>
      </c>
      <c r="I265" s="88">
        <f>+ROUND(Návrh!J262,-3)/$X$2</f>
        <v>-1400</v>
      </c>
      <c r="J265" s="88" t="e">
        <f>+ROUND(Návrh!#REF!,-3)/$X$2</f>
        <v>#REF!</v>
      </c>
      <c r="K265" s="88">
        <f>+ROUND(Návrh!K262,-3)/$X$2</f>
        <v>-1381</v>
      </c>
      <c r="L265" s="88">
        <f>+ROUND(Návrh!L262,-3)/$X$2</f>
        <v>-1400</v>
      </c>
      <c r="M265" s="67"/>
    </row>
    <row r="266" spans="1:13" x14ac:dyDescent="0.25">
      <c r="A266" s="42" t="s">
        <v>1164</v>
      </c>
      <c r="B266" s="20" t="s">
        <v>1654</v>
      </c>
      <c r="C266" s="20" t="s">
        <v>919</v>
      </c>
      <c r="D266" s="20" t="s">
        <v>1655</v>
      </c>
      <c r="E266" s="373" t="s">
        <v>262</v>
      </c>
      <c r="F266" s="374"/>
      <c r="G266" s="88">
        <f>+ROUND(Návrh!H263,-3)/$X$2</f>
        <v>-1654</v>
      </c>
      <c r="H266" s="88">
        <f>+ROUND(Návrh!I263,-3)/$X$2</f>
        <v>-1790</v>
      </c>
      <c r="I266" s="88">
        <f>+ROUND(Návrh!J263,-3)/$X$2</f>
        <v>-1800</v>
      </c>
      <c r="J266" s="88" t="e">
        <f>+ROUND(Návrh!#REF!,-3)/$X$2</f>
        <v>#REF!</v>
      </c>
      <c r="K266" s="88">
        <f>+ROUND(Návrh!K263,-3)/$X$2</f>
        <v>-1847</v>
      </c>
      <c r="L266" s="88">
        <f>+ROUND(Návrh!L263,-3)/$X$2</f>
        <v>-2000</v>
      </c>
      <c r="M266" s="67"/>
    </row>
    <row r="267" spans="1:13" x14ac:dyDescent="0.25">
      <c r="A267" s="42" t="s">
        <v>1165</v>
      </c>
      <c r="B267" s="27" t="s">
        <v>916</v>
      </c>
      <c r="C267" s="28" t="s">
        <v>919</v>
      </c>
      <c r="D267" s="28" t="s">
        <v>917</v>
      </c>
      <c r="E267" s="373" t="s">
        <v>262</v>
      </c>
      <c r="F267" s="374"/>
      <c r="G267" s="88">
        <f>+ROUND(Návrh!H264,-3)/$X$2</f>
        <v>-96</v>
      </c>
      <c r="H267" s="88">
        <f>+ROUND(Návrh!I264,-3)/$X$2</f>
        <v>-26</v>
      </c>
      <c r="I267" s="88">
        <f>+ROUND(Návrh!J264,-3)/$X$2</f>
        <v>-60</v>
      </c>
      <c r="J267" s="88" t="e">
        <f>+ROUND(Návrh!#REF!,-3)/$X$2</f>
        <v>#REF!</v>
      </c>
      <c r="K267" s="88">
        <f>+ROUND(Návrh!K264,-3)/$X$2</f>
        <v>0</v>
      </c>
      <c r="L267" s="88">
        <f>+ROUND(Návrh!L264,-3)/$X$2</f>
        <v>0</v>
      </c>
      <c r="M267" s="67"/>
    </row>
    <row r="268" spans="1:13" x14ac:dyDescent="0.25">
      <c r="A268" s="26" t="s">
        <v>1166</v>
      </c>
      <c r="B268" s="26"/>
      <c r="C268" s="23"/>
      <c r="D268" s="23"/>
      <c r="E268" s="379" t="s">
        <v>263</v>
      </c>
      <c r="F268" s="380"/>
      <c r="G268" s="92">
        <f>+ROUND(Návrh!H265,-3)/$X$2</f>
        <v>-3712</v>
      </c>
      <c r="H268" s="92">
        <f>+ROUND(Návrh!I265,-3)/$X$2</f>
        <v>-3737</v>
      </c>
      <c r="I268" s="92">
        <f>+ROUND(Návrh!J265,-3)/$X$2</f>
        <v>-3931</v>
      </c>
      <c r="J268" s="92" t="e">
        <f>+ROUND(Návrh!#REF!,-3)/$X$2</f>
        <v>#REF!</v>
      </c>
      <c r="K268" s="92">
        <f>+ROUND(Návrh!K265,-3)/$X$2</f>
        <v>-3987</v>
      </c>
      <c r="L268" s="92">
        <f>+ROUND(Návrh!L265,-3)/$X$2</f>
        <v>-5480</v>
      </c>
      <c r="M268" s="67"/>
    </row>
    <row r="269" spans="1:13" x14ac:dyDescent="0.25">
      <c r="A269" s="42" t="s">
        <v>1167</v>
      </c>
      <c r="B269" s="20" t="s">
        <v>1654</v>
      </c>
      <c r="C269" s="20" t="s">
        <v>919</v>
      </c>
      <c r="D269" s="20" t="s">
        <v>1656</v>
      </c>
      <c r="E269" s="373" t="s">
        <v>264</v>
      </c>
      <c r="F269" s="374"/>
      <c r="G269" s="88">
        <f>+ROUND(Návrh!H266,-3)/$X$2</f>
        <v>-36</v>
      </c>
      <c r="H269" s="88">
        <f>+ROUND(Návrh!I266,-3)/$X$2</f>
        <v>-36</v>
      </c>
      <c r="I269" s="88">
        <f>+ROUND(Návrh!J266,-3)/$X$2</f>
        <v>-36</v>
      </c>
      <c r="J269" s="88" t="e">
        <f>+ROUND(Návrh!#REF!,-3)/$X$2</f>
        <v>#REF!</v>
      </c>
      <c r="K269" s="88">
        <f>+ROUND(Návrh!K266,-3)/$X$2</f>
        <v>-36</v>
      </c>
      <c r="L269" s="88">
        <f>+ROUND(Návrh!L266,-3)/$X$2</f>
        <v>-1385</v>
      </c>
      <c r="M269" s="67"/>
    </row>
    <row r="270" spans="1:13" x14ac:dyDescent="0.25">
      <c r="A270" s="42" t="s">
        <v>1168</v>
      </c>
      <c r="B270" s="27" t="s">
        <v>916</v>
      </c>
      <c r="C270" s="28" t="s">
        <v>920</v>
      </c>
      <c r="D270" s="28" t="s">
        <v>917</v>
      </c>
      <c r="E270" s="373" t="s">
        <v>265</v>
      </c>
      <c r="F270" s="374"/>
      <c r="G270" s="88">
        <f>+ROUND(Návrh!H267,-3)/$X$2</f>
        <v>-726</v>
      </c>
      <c r="H270" s="88">
        <f>+ROUND(Návrh!I267,-3)/$X$2</f>
        <v>-725</v>
      </c>
      <c r="I270" s="88">
        <f>+ROUND(Návrh!J267,-3)/$X$2</f>
        <v>-725</v>
      </c>
      <c r="J270" s="88" t="e">
        <f>+ROUND(Návrh!#REF!,-3)/$X$2</f>
        <v>#REF!</v>
      </c>
      <c r="K270" s="88">
        <f>+ROUND(Návrh!K267,-3)/$X$2</f>
        <v>-725</v>
      </c>
      <c r="L270" s="88">
        <f>+ROUND(Návrh!L267,-3)/$X$2</f>
        <v>-725</v>
      </c>
      <c r="M270" s="67"/>
    </row>
    <row r="271" spans="1:13" x14ac:dyDescent="0.25">
      <c r="A271" s="42" t="s">
        <v>1169</v>
      </c>
      <c r="B271" s="28" t="s">
        <v>916</v>
      </c>
      <c r="C271" s="28" t="s">
        <v>923</v>
      </c>
      <c r="D271" s="28" t="s">
        <v>1246</v>
      </c>
      <c r="E271" s="373" t="s">
        <v>266</v>
      </c>
      <c r="F271" s="374"/>
      <c r="G271" s="88">
        <f>+ROUND(Návrh!H268,-3)/$X$2</f>
        <v>-1198</v>
      </c>
      <c r="H271" s="88">
        <f>+ROUND(Návrh!I268,-3)/$X$2</f>
        <v>-1265</v>
      </c>
      <c r="I271" s="88">
        <f>+ROUND(Návrh!J268,-3)/$X$2</f>
        <v>-1370</v>
      </c>
      <c r="J271" s="88" t="e">
        <f>+ROUND(Návrh!#REF!,-3)/$X$2</f>
        <v>#REF!</v>
      </c>
      <c r="K271" s="88">
        <f>+ROUND(Návrh!K268,-3)/$X$2</f>
        <v>-1305</v>
      </c>
      <c r="L271" s="88">
        <f>+ROUND(Návrh!L268,-3)/$X$2</f>
        <v>-1400</v>
      </c>
      <c r="M271" s="67"/>
    </row>
    <row r="272" spans="1:13" x14ac:dyDescent="0.25">
      <c r="A272" s="42" t="s">
        <v>1170</v>
      </c>
      <c r="B272" s="28" t="s">
        <v>916</v>
      </c>
      <c r="C272" s="28" t="s">
        <v>923</v>
      </c>
      <c r="D272" s="28" t="s">
        <v>1037</v>
      </c>
      <c r="E272" s="373" t="s">
        <v>267</v>
      </c>
      <c r="F272" s="374"/>
      <c r="G272" s="88">
        <f>+ROUND(Návrh!H269,-3)/$X$2</f>
        <v>-1674</v>
      </c>
      <c r="H272" s="88">
        <f>+ROUND(Návrh!I269,-3)/$X$2</f>
        <v>-1711</v>
      </c>
      <c r="I272" s="88">
        <f>+ROUND(Návrh!J269,-3)/$X$2</f>
        <v>-1800</v>
      </c>
      <c r="J272" s="88" t="e">
        <f>+ROUND(Návrh!#REF!,-3)/$X$2</f>
        <v>#REF!</v>
      </c>
      <c r="K272" s="88">
        <f>+ROUND(Návrh!K269,-3)/$X$2</f>
        <v>-1813</v>
      </c>
      <c r="L272" s="88">
        <f>+ROUND(Návrh!L269,-3)/$X$2</f>
        <v>-1920</v>
      </c>
      <c r="M272" s="67"/>
    </row>
    <row r="273" spans="1:13" x14ac:dyDescent="0.25">
      <c r="A273" s="42" t="s">
        <v>1171</v>
      </c>
      <c r="B273" s="27" t="s">
        <v>916</v>
      </c>
      <c r="C273" s="28" t="s">
        <v>920</v>
      </c>
      <c r="D273" s="28" t="s">
        <v>917</v>
      </c>
      <c r="E273" s="373" t="s">
        <v>268</v>
      </c>
      <c r="F273" s="374"/>
      <c r="G273" s="88">
        <f>+ROUND(Návrh!H270,-3)/$X$2</f>
        <v>-78</v>
      </c>
      <c r="H273" s="88">
        <f>+ROUND(Návrh!I270,-3)/$X$2</f>
        <v>0</v>
      </c>
      <c r="I273" s="88">
        <f>+ROUND(Návrh!J270,-3)/$X$2</f>
        <v>0</v>
      </c>
      <c r="J273" s="88" t="e">
        <f>+ROUND(Návrh!#REF!,-3)/$X$2</f>
        <v>#REF!</v>
      </c>
      <c r="K273" s="88">
        <f>+ROUND(Návrh!K270,-3)/$X$2</f>
        <v>-107</v>
      </c>
      <c r="L273" s="88">
        <f>+ROUND(Návrh!L270,-3)/$X$2</f>
        <v>-50</v>
      </c>
      <c r="M273" s="67"/>
    </row>
    <row r="274" spans="1:13" x14ac:dyDescent="0.25">
      <c r="A274" s="26" t="s">
        <v>1172</v>
      </c>
      <c r="B274" s="26"/>
      <c r="C274" s="23"/>
      <c r="D274" s="23"/>
      <c r="E274" s="379" t="s">
        <v>269</v>
      </c>
      <c r="F274" s="380"/>
      <c r="G274" s="92">
        <f>+ROUND(Návrh!H271,-3)/$X$2</f>
        <v>-932</v>
      </c>
      <c r="H274" s="92">
        <f>+ROUND(Návrh!I271,-3)/$X$2</f>
        <v>-731</v>
      </c>
      <c r="I274" s="92">
        <f>+ROUND(Návrh!J271,-3)/$X$2</f>
        <v>-500</v>
      </c>
      <c r="J274" s="92" t="e">
        <f>+ROUND(Návrh!#REF!,-3)/$X$2</f>
        <v>#REF!</v>
      </c>
      <c r="K274" s="92">
        <f>+ROUND(Návrh!K271,-3)/$X$2</f>
        <v>-2178</v>
      </c>
      <c r="L274" s="92">
        <f>+ROUND(Návrh!L271,-3)/$X$2</f>
        <v>-500</v>
      </c>
      <c r="M274" s="67"/>
    </row>
    <row r="275" spans="1:13" x14ac:dyDescent="0.25">
      <c r="A275" s="42" t="s">
        <v>1173</v>
      </c>
      <c r="B275" s="20" t="s">
        <v>916</v>
      </c>
      <c r="C275" s="20" t="s">
        <v>923</v>
      </c>
      <c r="D275" s="20" t="s">
        <v>1247</v>
      </c>
      <c r="E275" s="373" t="s">
        <v>270</v>
      </c>
      <c r="F275" s="374"/>
      <c r="G275" s="88">
        <f>+ROUND(Návrh!H272,-3)/$X$2</f>
        <v>-932</v>
      </c>
      <c r="H275" s="88">
        <f>+ROUND(Návrh!I272,-3)/$X$2</f>
        <v>-731</v>
      </c>
      <c r="I275" s="88">
        <f>+ROUND(Návrh!J272,-3)/$X$2</f>
        <v>-500</v>
      </c>
      <c r="J275" s="88" t="e">
        <f>+ROUND(Návrh!#REF!,-3)/$X$2</f>
        <v>#REF!</v>
      </c>
      <c r="K275" s="88">
        <f>+ROUND(Návrh!K272,-3)/$X$2</f>
        <v>-2178</v>
      </c>
      <c r="L275" s="88">
        <f>+ROUND(Návrh!L272,-3)/$X$2</f>
        <v>-500</v>
      </c>
      <c r="M275" s="67"/>
    </row>
    <row r="276" spans="1:13" x14ac:dyDescent="0.25">
      <c r="A276" s="26" t="s">
        <v>1174</v>
      </c>
      <c r="B276" s="26"/>
      <c r="C276" s="23"/>
      <c r="D276" s="23"/>
      <c r="E276" s="379" t="s">
        <v>271</v>
      </c>
      <c r="F276" s="380"/>
      <c r="G276" s="92">
        <f>+ROUND(Návrh!H273,-3)/$X$2</f>
        <v>-52028</v>
      </c>
      <c r="H276" s="92">
        <f>+ROUND(Návrh!I273,-3)/$X$2</f>
        <v>-56184</v>
      </c>
      <c r="I276" s="92">
        <f>+ROUND(Návrh!J273,-3)/$X$2</f>
        <v>-60625</v>
      </c>
      <c r="J276" s="92" t="e">
        <f>+ROUND(Návrh!#REF!,-3)/$X$2</f>
        <v>#REF!</v>
      </c>
      <c r="K276" s="92">
        <f>+ROUND(Návrh!K273,-3)/$X$2</f>
        <v>-83391</v>
      </c>
      <c r="L276" s="92">
        <f>+ROUND(Návrh!L273,-3)/$X$2</f>
        <v>-106435</v>
      </c>
      <c r="M276" s="67"/>
    </row>
    <row r="277" spans="1:13" x14ac:dyDescent="0.25">
      <c r="A277" s="42" t="s">
        <v>1175</v>
      </c>
      <c r="B277" s="28" t="s">
        <v>916</v>
      </c>
      <c r="C277" s="28" t="s">
        <v>923</v>
      </c>
      <c r="D277" s="28" t="s">
        <v>1248</v>
      </c>
      <c r="E277" s="373" t="s">
        <v>272</v>
      </c>
      <c r="F277" s="374"/>
      <c r="G277" s="88">
        <f>+ROUND(Návrh!H274,-3)/$X$2</f>
        <v>-40932</v>
      </c>
      <c r="H277" s="88">
        <f>+ROUND(Návrh!I274,-3)/$X$2</f>
        <v>-44541</v>
      </c>
      <c r="I277" s="88">
        <f>+ROUND(Návrh!J274,-3)/$X$2</f>
        <v>-49000</v>
      </c>
      <c r="J277" s="88" t="e">
        <f>+ROUND(Návrh!#REF!,-3)/$X$2</f>
        <v>#REF!</v>
      </c>
      <c r="K277" s="88">
        <f>+ROUND(Návrh!K274,-3)/$X$2</f>
        <v>-47798</v>
      </c>
      <c r="L277" s="88">
        <f>+ROUND(Návrh!L274,-3)/$X$2</f>
        <v>-55700</v>
      </c>
      <c r="M277" s="67"/>
    </row>
    <row r="278" spans="1:13" x14ac:dyDescent="0.25">
      <c r="A278" s="42" t="s">
        <v>1176</v>
      </c>
      <c r="B278" s="28" t="s">
        <v>916</v>
      </c>
      <c r="C278" s="28" t="s">
        <v>923</v>
      </c>
      <c r="D278" s="28" t="s">
        <v>1248</v>
      </c>
      <c r="E278" s="373" t="s">
        <v>273</v>
      </c>
      <c r="F278" s="374"/>
      <c r="G278" s="88">
        <f>+ROUND(Návrh!H275,-3)/$X$2</f>
        <v>-1306</v>
      </c>
      <c r="H278" s="88">
        <f>+ROUND(Návrh!I275,-3)/$X$2</f>
        <v>-2720</v>
      </c>
      <c r="I278" s="88">
        <f>+ROUND(Návrh!J275,-3)/$X$2</f>
        <v>-1500</v>
      </c>
      <c r="J278" s="88" t="e">
        <f>+ROUND(Návrh!#REF!,-3)/$X$2</f>
        <v>#REF!</v>
      </c>
      <c r="K278" s="88">
        <f>+ROUND(Návrh!K275,-3)/$X$2</f>
        <v>-3594</v>
      </c>
      <c r="L278" s="88">
        <f>+ROUND(Návrh!L275,-3)/$X$2</f>
        <v>-2200</v>
      </c>
      <c r="M278" s="67"/>
    </row>
    <row r="279" spans="1:13" x14ac:dyDescent="0.25">
      <c r="A279" s="42" t="s">
        <v>1177</v>
      </c>
      <c r="B279" s="20" t="s">
        <v>916</v>
      </c>
      <c r="C279" s="20" t="s">
        <v>919</v>
      </c>
      <c r="D279" s="20" t="s">
        <v>1649</v>
      </c>
      <c r="E279" s="373" t="s">
        <v>274</v>
      </c>
      <c r="F279" s="374"/>
      <c r="G279" s="88">
        <f>+ROUND(Návrh!H276,-3)/$X$2</f>
        <v>-358</v>
      </c>
      <c r="H279" s="88">
        <f>+ROUND(Návrh!I276,-3)/$X$2</f>
        <v>-398</v>
      </c>
      <c r="I279" s="88">
        <f>+ROUND(Návrh!J276,-3)/$X$2</f>
        <v>-400</v>
      </c>
      <c r="J279" s="88" t="e">
        <f>+ROUND(Návrh!#REF!,-3)/$X$2</f>
        <v>#REF!</v>
      </c>
      <c r="K279" s="88">
        <f>+ROUND(Návrh!K276,-3)/$X$2</f>
        <v>-466</v>
      </c>
      <c r="L279" s="88">
        <f>+ROUND(Návrh!L276,-3)/$X$2</f>
        <v>-460</v>
      </c>
      <c r="M279" s="67"/>
    </row>
    <row r="280" spans="1:13" x14ac:dyDescent="0.25">
      <c r="A280" s="42" t="s">
        <v>1178</v>
      </c>
      <c r="B280" s="20" t="s">
        <v>916</v>
      </c>
      <c r="C280" s="20" t="s">
        <v>919</v>
      </c>
      <c r="D280" s="20" t="s">
        <v>1649</v>
      </c>
      <c r="E280" s="373" t="s">
        <v>275</v>
      </c>
      <c r="F280" s="374"/>
      <c r="G280" s="88">
        <f>+ROUND(Návrh!H277,-3)/$X$2</f>
        <v>-8676</v>
      </c>
      <c r="H280" s="88">
        <f>+ROUND(Návrh!I277,-3)/$X$2</f>
        <v>-8191</v>
      </c>
      <c r="I280" s="88">
        <f>+ROUND(Návrh!J277,-3)/$X$2</f>
        <v>-8500</v>
      </c>
      <c r="J280" s="88" t="e">
        <f>+ROUND(Návrh!#REF!,-3)/$X$2</f>
        <v>#REF!</v>
      </c>
      <c r="K280" s="88">
        <f>+ROUND(Návrh!K277,-3)/$X$2</f>
        <v>-8446</v>
      </c>
      <c r="L280" s="88">
        <f>+ROUND(Návrh!L277,-3)/$X$2</f>
        <v>-8500</v>
      </c>
      <c r="M280" s="67"/>
    </row>
    <row r="281" spans="1:13" x14ac:dyDescent="0.25">
      <c r="A281" s="42" t="s">
        <v>1179</v>
      </c>
      <c r="B281" s="20" t="s">
        <v>916</v>
      </c>
      <c r="C281" s="20" t="s">
        <v>919</v>
      </c>
      <c r="D281" s="20" t="s">
        <v>1649</v>
      </c>
      <c r="E281" s="373" t="s">
        <v>276</v>
      </c>
      <c r="F281" s="374"/>
      <c r="G281" s="88">
        <f>+ROUND(Návrh!H278,-3)/$X$2</f>
        <v>-68</v>
      </c>
      <c r="H281" s="88">
        <f>+ROUND(Návrh!I278,-3)/$X$2</f>
        <v>-80</v>
      </c>
      <c r="I281" s="88">
        <f>+ROUND(Návrh!J278,-3)/$X$2</f>
        <v>-75</v>
      </c>
      <c r="J281" s="88" t="e">
        <f>+ROUND(Návrh!#REF!,-3)/$X$2</f>
        <v>#REF!</v>
      </c>
      <c r="K281" s="88">
        <f>+ROUND(Návrh!K278,-3)/$X$2</f>
        <v>-69</v>
      </c>
      <c r="L281" s="88">
        <f>+ROUND(Návrh!L278,-3)/$X$2</f>
        <v>-75</v>
      </c>
      <c r="M281" s="67"/>
    </row>
    <row r="282" spans="1:13" x14ac:dyDescent="0.25">
      <c r="A282" s="42" t="s">
        <v>1180</v>
      </c>
      <c r="B282" s="20" t="s">
        <v>916</v>
      </c>
      <c r="C282" s="20" t="s">
        <v>919</v>
      </c>
      <c r="D282" s="20" t="s">
        <v>1649</v>
      </c>
      <c r="E282" s="373" t="s">
        <v>277</v>
      </c>
      <c r="F282" s="374"/>
      <c r="G282" s="88">
        <f>+ROUND(Návrh!H279,-3)/$X$2</f>
        <v>-275</v>
      </c>
      <c r="H282" s="88">
        <f>+ROUND(Návrh!I279,-3)/$X$2</f>
        <v>-215</v>
      </c>
      <c r="I282" s="88">
        <f>+ROUND(Návrh!J279,-3)/$X$2</f>
        <v>-1100</v>
      </c>
      <c r="J282" s="88" t="e">
        <f>+ROUND(Návrh!#REF!,-3)/$X$2</f>
        <v>#REF!</v>
      </c>
      <c r="K282" s="88">
        <f>+ROUND(Návrh!K279,-3)/$X$2</f>
        <v>-1015</v>
      </c>
      <c r="L282" s="88">
        <f>+ROUND(Návrh!L279,-3)/$X$2</f>
        <v>-1000</v>
      </c>
      <c r="M282" s="67"/>
    </row>
    <row r="283" spans="1:13" x14ac:dyDescent="0.25">
      <c r="A283" s="42" t="s">
        <v>1181</v>
      </c>
      <c r="B283" s="15" t="s">
        <v>916</v>
      </c>
      <c r="C283" s="16" t="s">
        <v>919</v>
      </c>
      <c r="D283" s="16" t="s">
        <v>1036</v>
      </c>
      <c r="E283" s="373" t="s">
        <v>278</v>
      </c>
      <c r="F283" s="374"/>
      <c r="G283" s="88">
        <f>+ROUND(Návrh!H280,-3)/$X$2</f>
        <v>0</v>
      </c>
      <c r="H283" s="88">
        <f>+ROUND(Návrh!I280,-3)/$X$2</f>
        <v>0</v>
      </c>
      <c r="I283" s="88">
        <f>+ROUND(Návrh!J280,-3)/$X$2</f>
        <v>0</v>
      </c>
      <c r="J283" s="88" t="e">
        <f>+ROUND(Návrh!#REF!,-3)/$X$2</f>
        <v>#REF!</v>
      </c>
      <c r="K283" s="88">
        <f>+ROUND(Návrh!K280,-3)/$X$2</f>
        <v>-22004</v>
      </c>
      <c r="L283" s="88">
        <f>+ROUND(Návrh!L280,-3)/$X$2</f>
        <v>-38500</v>
      </c>
      <c r="M283" s="67"/>
    </row>
    <row r="284" spans="1:13" x14ac:dyDescent="0.25">
      <c r="A284" s="42" t="s">
        <v>1182</v>
      </c>
      <c r="B284" s="28" t="s">
        <v>916</v>
      </c>
      <c r="C284" s="28" t="s">
        <v>923</v>
      </c>
      <c r="D284" s="28" t="s">
        <v>1248</v>
      </c>
      <c r="E284" s="373" t="s">
        <v>1687</v>
      </c>
      <c r="F284" s="374"/>
      <c r="G284" s="88">
        <f>+ROUND(Návrh!H281,-3)/$X$2</f>
        <v>-414</v>
      </c>
      <c r="H284" s="88">
        <f>+ROUND(Návrh!I281,-3)/$X$2</f>
        <v>-38</v>
      </c>
      <c r="I284" s="88">
        <f>+ROUND(Návrh!J281,-3)/$X$2</f>
        <v>-50</v>
      </c>
      <c r="J284" s="88" t="e">
        <f>+ROUND(Návrh!#REF!,-3)/$X$2</f>
        <v>#REF!</v>
      </c>
      <c r="K284" s="88">
        <f>+ROUND(Návrh!K281,-3)/$X$2</f>
        <v>0</v>
      </c>
      <c r="L284" s="88">
        <f>+ROUND(Návrh!L281,-3)/$X$2</f>
        <v>0</v>
      </c>
      <c r="M284" s="67"/>
    </row>
    <row r="285" spans="1:13" x14ac:dyDescent="0.25">
      <c r="A285" s="26" t="s">
        <v>1183</v>
      </c>
      <c r="B285" s="26"/>
      <c r="C285" s="23"/>
      <c r="D285" s="23"/>
      <c r="E285" s="379" t="s">
        <v>279</v>
      </c>
      <c r="F285" s="380"/>
      <c r="G285" s="92">
        <f>+ROUND(Návrh!H282,-3)/$X$2</f>
        <v>-1945</v>
      </c>
      <c r="H285" s="92">
        <f>+ROUND(Návrh!I282,-3)/$X$2</f>
        <v>-2135</v>
      </c>
      <c r="I285" s="92">
        <f>+ROUND(Návrh!J282,-3)/$X$2</f>
        <v>-1880</v>
      </c>
      <c r="J285" s="92" t="e">
        <f>+ROUND(Návrh!#REF!,-3)/$X$2</f>
        <v>#REF!</v>
      </c>
      <c r="K285" s="92">
        <f>+ROUND(Návrh!K282,-3)/$X$2</f>
        <v>-2523</v>
      </c>
      <c r="L285" s="92">
        <f>+ROUND(Návrh!L282,-3)/$X$2</f>
        <v>-2050</v>
      </c>
      <c r="M285" s="67"/>
    </row>
    <row r="286" spans="1:13" x14ac:dyDescent="0.25">
      <c r="A286" s="42" t="s">
        <v>1184</v>
      </c>
      <c r="B286" s="27" t="s">
        <v>922</v>
      </c>
      <c r="C286" s="28" t="s">
        <v>920</v>
      </c>
      <c r="D286" s="34" t="s">
        <v>1249</v>
      </c>
      <c r="E286" s="373" t="s">
        <v>280</v>
      </c>
      <c r="F286" s="374"/>
      <c r="G286" s="88">
        <f>+ROUND(Návrh!H283,-3)/$X$2</f>
        <v>-53</v>
      </c>
      <c r="H286" s="88">
        <f>+ROUND(Návrh!I283,-3)/$X$2</f>
        <v>-48</v>
      </c>
      <c r="I286" s="88">
        <f>+ROUND(Návrh!J283,-3)/$X$2</f>
        <v>-80</v>
      </c>
      <c r="J286" s="88" t="e">
        <f>+ROUND(Návrh!#REF!,-3)/$X$2</f>
        <v>#REF!</v>
      </c>
      <c r="K286" s="88">
        <f>+ROUND(Návrh!K283,-3)/$X$2</f>
        <v>-107</v>
      </c>
      <c r="L286" s="88">
        <f>+ROUND(Návrh!L283,-3)/$X$2</f>
        <v>-80</v>
      </c>
      <c r="M286" s="67"/>
    </row>
    <row r="287" spans="1:13" x14ac:dyDescent="0.25">
      <c r="A287" s="42" t="s">
        <v>1185</v>
      </c>
      <c r="B287" s="27" t="s">
        <v>922</v>
      </c>
      <c r="C287" s="28" t="s">
        <v>920</v>
      </c>
      <c r="D287" s="28" t="s">
        <v>1249</v>
      </c>
      <c r="E287" s="373" t="s">
        <v>281</v>
      </c>
      <c r="F287" s="374"/>
      <c r="G287" s="88">
        <f>+ROUND(Návrh!H284,-3)/$X$2</f>
        <v>-1596</v>
      </c>
      <c r="H287" s="88">
        <f>+ROUND(Návrh!I284,-3)/$X$2</f>
        <v>-1772</v>
      </c>
      <c r="I287" s="88">
        <f>+ROUND(Návrh!J284,-3)/$X$2</f>
        <v>-1500</v>
      </c>
      <c r="J287" s="88" t="e">
        <f>+ROUND(Návrh!#REF!,-3)/$X$2</f>
        <v>#REF!</v>
      </c>
      <c r="K287" s="88">
        <f>+ROUND(Návrh!K284,-3)/$X$2</f>
        <v>-2089</v>
      </c>
      <c r="L287" s="88">
        <f>+ROUND(Návrh!L284,-3)/$X$2</f>
        <v>-1650</v>
      </c>
      <c r="M287" s="67"/>
    </row>
    <row r="288" spans="1:13" x14ac:dyDescent="0.25">
      <c r="A288" s="42" t="s">
        <v>1186</v>
      </c>
      <c r="B288" s="27" t="s">
        <v>916</v>
      </c>
      <c r="C288" s="28" t="s">
        <v>919</v>
      </c>
      <c r="D288" s="28" t="s">
        <v>917</v>
      </c>
      <c r="E288" s="373" t="s">
        <v>282</v>
      </c>
      <c r="F288" s="374"/>
      <c r="G288" s="88">
        <f>+ROUND(Návrh!H285,-3)/$X$2</f>
        <v>-296</v>
      </c>
      <c r="H288" s="88">
        <f>+ROUND(Návrh!I285,-3)/$X$2</f>
        <v>-315</v>
      </c>
      <c r="I288" s="88">
        <f>+ROUND(Návrh!J285,-3)/$X$2</f>
        <v>-300</v>
      </c>
      <c r="J288" s="88" t="e">
        <f>+ROUND(Návrh!#REF!,-3)/$X$2</f>
        <v>#REF!</v>
      </c>
      <c r="K288" s="88">
        <f>+ROUND(Návrh!K285,-3)/$X$2</f>
        <v>-327</v>
      </c>
      <c r="L288" s="88">
        <f>+ROUND(Návrh!L285,-3)/$X$2</f>
        <v>-320</v>
      </c>
      <c r="M288" s="67"/>
    </row>
    <row r="289" spans="1:13" x14ac:dyDescent="0.25">
      <c r="A289" s="26" t="s">
        <v>1187</v>
      </c>
      <c r="B289" s="26"/>
      <c r="C289" s="23"/>
      <c r="D289" s="23"/>
      <c r="E289" s="379" t="s">
        <v>283</v>
      </c>
      <c r="F289" s="380"/>
      <c r="G289" s="92">
        <f>+ROUND(Návrh!H286,-3)/$X$2</f>
        <v>-56736</v>
      </c>
      <c r="H289" s="92">
        <f>+ROUND(Návrh!I286,-3)/$X$2</f>
        <v>-60649</v>
      </c>
      <c r="I289" s="92">
        <f>+ROUND(Návrh!J286,-3)/$X$2</f>
        <v>-62580</v>
      </c>
      <c r="J289" s="92" t="e">
        <f>+ROUND(Návrh!#REF!,-3)/$X$2</f>
        <v>#REF!</v>
      </c>
      <c r="K289" s="92">
        <f>+ROUND(Návrh!K286,-3)/$X$2</f>
        <v>-70155</v>
      </c>
      <c r="L289" s="92">
        <f>+ROUND(Návrh!L286,-3)/$X$2</f>
        <v>-69438</v>
      </c>
      <c r="M289" s="67"/>
    </row>
    <row r="290" spans="1:13" x14ac:dyDescent="0.25">
      <c r="A290" s="42" t="s">
        <v>1188</v>
      </c>
      <c r="B290" s="20" t="s">
        <v>916</v>
      </c>
      <c r="C290" s="20" t="s">
        <v>919</v>
      </c>
      <c r="D290" s="20" t="s">
        <v>1089</v>
      </c>
      <c r="E290" s="373" t="s">
        <v>284</v>
      </c>
      <c r="F290" s="374"/>
      <c r="G290" s="88">
        <f>+ROUND(Návrh!H287,-3)/$X$2</f>
        <v>-852</v>
      </c>
      <c r="H290" s="88">
        <f>+ROUND(Návrh!I287,-3)/$X$2</f>
        <v>-1307</v>
      </c>
      <c r="I290" s="88">
        <f>+ROUND(Návrh!J287,-3)/$X$2</f>
        <v>-1000</v>
      </c>
      <c r="J290" s="88" t="e">
        <f>+ROUND(Návrh!#REF!,-3)/$X$2</f>
        <v>#REF!</v>
      </c>
      <c r="K290" s="88">
        <f>+ROUND(Návrh!K287,-3)/$X$2</f>
        <v>-1413</v>
      </c>
      <c r="L290" s="88">
        <f>+ROUND(Návrh!L287,-3)/$X$2</f>
        <v>-1200</v>
      </c>
      <c r="M290" s="67"/>
    </row>
    <row r="291" spans="1:13" x14ac:dyDescent="0.25">
      <c r="A291" s="42" t="s">
        <v>1189</v>
      </c>
      <c r="B291" s="20" t="s">
        <v>916</v>
      </c>
      <c r="C291" s="20" t="s">
        <v>920</v>
      </c>
      <c r="D291" s="20" t="s">
        <v>1250</v>
      </c>
      <c r="E291" s="373" t="s">
        <v>285</v>
      </c>
      <c r="F291" s="374"/>
      <c r="G291" s="88">
        <f>+ROUND(Návrh!H288,-3)/$X$2</f>
        <v>-20860</v>
      </c>
      <c r="H291" s="88">
        <f>+ROUND(Návrh!I288,-3)/$X$2</f>
        <v>-20424</v>
      </c>
      <c r="I291" s="88">
        <f>+ROUND(Návrh!J288,-3)/$X$2</f>
        <v>-20000</v>
      </c>
      <c r="J291" s="88" t="e">
        <f>+ROUND(Návrh!#REF!,-3)/$X$2</f>
        <v>#REF!</v>
      </c>
      <c r="K291" s="88">
        <f>+ROUND(Návrh!K288,-3)/$X$2</f>
        <v>-20683</v>
      </c>
      <c r="L291" s="88">
        <f>+ROUND(Návrh!L288,-3)/$X$2</f>
        <v>-20000</v>
      </c>
      <c r="M291" s="67"/>
    </row>
    <row r="292" spans="1:13" x14ac:dyDescent="0.25">
      <c r="A292" s="42" t="s">
        <v>1190</v>
      </c>
      <c r="B292" s="20" t="s">
        <v>1241</v>
      </c>
      <c r="C292" s="20" t="s">
        <v>920</v>
      </c>
      <c r="D292" s="20" t="s">
        <v>1242</v>
      </c>
      <c r="E292" s="373" t="s">
        <v>286</v>
      </c>
      <c r="F292" s="374"/>
      <c r="G292" s="88">
        <f>+ROUND(Návrh!H289,-3)/$X$2</f>
        <v>-612</v>
      </c>
      <c r="H292" s="88">
        <f>+ROUND(Návrh!I289,-3)/$X$2</f>
        <v>-636</v>
      </c>
      <c r="I292" s="88">
        <f>+ROUND(Návrh!J289,-3)/$X$2</f>
        <v>-1530</v>
      </c>
      <c r="J292" s="88" t="e">
        <f>+ROUND(Návrh!#REF!,-3)/$X$2</f>
        <v>#REF!</v>
      </c>
      <c r="K292" s="88">
        <f>+ROUND(Návrh!K289,-3)/$X$2</f>
        <v>-899</v>
      </c>
      <c r="L292" s="88">
        <f>+ROUND(Návrh!L289,-3)/$X$2</f>
        <v>-1490</v>
      </c>
      <c r="M292" s="67"/>
    </row>
    <row r="293" spans="1:13" x14ac:dyDescent="0.25">
      <c r="A293" s="42" t="s">
        <v>1191</v>
      </c>
      <c r="B293" s="20" t="s">
        <v>916</v>
      </c>
      <c r="C293" s="20" t="s">
        <v>919</v>
      </c>
      <c r="D293" s="20" t="s">
        <v>1649</v>
      </c>
      <c r="E293" s="373" t="s">
        <v>287</v>
      </c>
      <c r="F293" s="374"/>
      <c r="G293" s="88">
        <f>+ROUND(Návrh!H290,-3)/$X$2</f>
        <v>-99</v>
      </c>
      <c r="H293" s="88">
        <f>+ROUND(Návrh!I290,-3)/$X$2</f>
        <v>-278</v>
      </c>
      <c r="I293" s="88">
        <f>+ROUND(Návrh!J290,-3)/$X$2</f>
        <v>-250</v>
      </c>
      <c r="J293" s="88" t="e">
        <f>+ROUND(Návrh!#REF!,-3)/$X$2</f>
        <v>#REF!</v>
      </c>
      <c r="K293" s="88">
        <f>+ROUND(Návrh!K290,-3)/$X$2</f>
        <v>-259</v>
      </c>
      <c r="L293" s="88">
        <f>+ROUND(Návrh!L290,-3)/$X$2</f>
        <v>-350</v>
      </c>
      <c r="M293" s="67"/>
    </row>
    <row r="294" spans="1:13" x14ac:dyDescent="0.25">
      <c r="A294" s="42" t="s">
        <v>1192</v>
      </c>
      <c r="B294" s="20" t="s">
        <v>916</v>
      </c>
      <c r="C294" s="20" t="s">
        <v>919</v>
      </c>
      <c r="D294" s="20" t="s">
        <v>918</v>
      </c>
      <c r="E294" s="373" t="s">
        <v>288</v>
      </c>
      <c r="F294" s="374"/>
      <c r="G294" s="88">
        <f>+ROUND(Návrh!H291,-3)/$X$2</f>
        <v>-281</v>
      </c>
      <c r="H294" s="88">
        <f>+ROUND(Návrh!I291,-3)/$X$2</f>
        <v>-357</v>
      </c>
      <c r="I294" s="88">
        <f>+ROUND(Návrh!J291,-3)/$X$2</f>
        <v>-330</v>
      </c>
      <c r="J294" s="88" t="e">
        <f>+ROUND(Návrh!#REF!,-3)/$X$2</f>
        <v>#REF!</v>
      </c>
      <c r="K294" s="88">
        <f>+ROUND(Návrh!K291,-3)/$X$2</f>
        <v>-320</v>
      </c>
      <c r="L294" s="88">
        <f>+ROUND(Návrh!L291,-3)/$X$2</f>
        <v>-400</v>
      </c>
      <c r="M294" s="67"/>
    </row>
    <row r="295" spans="1:13" x14ac:dyDescent="0.25">
      <c r="A295" s="42" t="s">
        <v>1193</v>
      </c>
      <c r="B295" s="20" t="s">
        <v>1654</v>
      </c>
      <c r="C295" s="20" t="s">
        <v>919</v>
      </c>
      <c r="D295" s="20" t="s">
        <v>1655</v>
      </c>
      <c r="E295" s="373" t="s">
        <v>289</v>
      </c>
      <c r="F295" s="374"/>
      <c r="G295" s="88">
        <f>+ROUND(Návrh!H292,-3)/$X$2</f>
        <v>-814</v>
      </c>
      <c r="H295" s="88">
        <f>+ROUND(Návrh!I292,-3)/$X$2</f>
        <v>-745</v>
      </c>
      <c r="I295" s="88">
        <f>+ROUND(Návrh!J292,-3)/$X$2</f>
        <v>-620</v>
      </c>
      <c r="J295" s="88" t="e">
        <f>+ROUND(Návrh!#REF!,-3)/$X$2</f>
        <v>#REF!</v>
      </c>
      <c r="K295" s="88">
        <f>+ROUND(Návrh!K292,-3)/$X$2</f>
        <v>-726</v>
      </c>
      <c r="L295" s="88">
        <f>+ROUND(Návrh!L292,-3)/$X$2</f>
        <v>-848</v>
      </c>
      <c r="M295" s="67"/>
    </row>
    <row r="296" spans="1:13" x14ac:dyDescent="0.25">
      <c r="A296" s="42" t="s">
        <v>1194</v>
      </c>
      <c r="B296" s="20" t="s">
        <v>916</v>
      </c>
      <c r="C296" s="20" t="s">
        <v>920</v>
      </c>
      <c r="D296" s="20" t="s">
        <v>1250</v>
      </c>
      <c r="E296" s="373" t="s">
        <v>290</v>
      </c>
      <c r="F296" s="374"/>
      <c r="G296" s="88">
        <f>+ROUND(Návrh!H293,-3)/$X$2</f>
        <v>-3274</v>
      </c>
      <c r="H296" s="88">
        <f>+ROUND(Návrh!I293,-3)/$X$2</f>
        <v>-4100</v>
      </c>
      <c r="I296" s="88">
        <f>+ROUND(Návrh!J293,-3)/$X$2</f>
        <v>-3970</v>
      </c>
      <c r="J296" s="88" t="e">
        <f>+ROUND(Návrh!#REF!,-3)/$X$2</f>
        <v>#REF!</v>
      </c>
      <c r="K296" s="88">
        <f>+ROUND(Návrh!K293,-3)/$X$2</f>
        <v>-4101</v>
      </c>
      <c r="L296" s="88">
        <f>+ROUND(Návrh!L293,-3)/$X$2</f>
        <v>-4290</v>
      </c>
      <c r="M296" s="67"/>
    </row>
    <row r="297" spans="1:13" x14ac:dyDescent="0.25">
      <c r="A297" s="42" t="s">
        <v>1691</v>
      </c>
      <c r="B297" s="20" t="s">
        <v>916</v>
      </c>
      <c r="C297" s="20" t="s">
        <v>923</v>
      </c>
      <c r="D297" s="20" t="s">
        <v>1248</v>
      </c>
      <c r="E297" s="373" t="s">
        <v>1692</v>
      </c>
      <c r="F297" s="374"/>
      <c r="G297" s="88">
        <f>+ROUND(Návrh!H294,-3)/$X$2</f>
        <v>0</v>
      </c>
      <c r="H297" s="88">
        <f>+ROUND(Návrh!I294,-3)/$X$2</f>
        <v>0</v>
      </c>
      <c r="I297" s="88">
        <f>+ROUND(Návrh!J294,-3)/$X$2</f>
        <v>0</v>
      </c>
      <c r="J297" s="88" t="e">
        <f>+ROUND(Návrh!#REF!,-3)/$X$2</f>
        <v>#REF!</v>
      </c>
      <c r="K297" s="88">
        <f>+ROUND(Návrh!K294,-3)/$X$2</f>
        <v>0</v>
      </c>
      <c r="L297" s="88">
        <f>+ROUND(Návrh!L294,-3)/$X$2</f>
        <v>-1488</v>
      </c>
      <c r="M297" s="67"/>
    </row>
    <row r="298" spans="1:13" x14ac:dyDescent="0.25">
      <c r="A298" s="42" t="s">
        <v>1195</v>
      </c>
      <c r="B298" s="20" t="s">
        <v>916</v>
      </c>
      <c r="C298" s="20" t="s">
        <v>920</v>
      </c>
      <c r="D298" s="20" t="s">
        <v>1250</v>
      </c>
      <c r="E298" s="373" t="s">
        <v>291</v>
      </c>
      <c r="F298" s="374"/>
      <c r="G298" s="88">
        <f>+ROUND(Návrh!H295,-3)/$X$2</f>
        <v>-29732</v>
      </c>
      <c r="H298" s="88">
        <f>+ROUND(Návrh!I295,-3)/$X$2</f>
        <v>-32726</v>
      </c>
      <c r="I298" s="88">
        <f>+ROUND(Návrh!J295,-3)/$X$2</f>
        <v>-34380</v>
      </c>
      <c r="J298" s="88" t="e">
        <f>+ROUND(Návrh!#REF!,-3)/$X$2</f>
        <v>#REF!</v>
      </c>
      <c r="K298" s="88">
        <f>+ROUND(Návrh!K295,-3)/$X$2</f>
        <v>-39611</v>
      </c>
      <c r="L298" s="88">
        <f>+ROUND(Návrh!L295,-3)/$X$2</f>
        <v>-32572</v>
      </c>
      <c r="M298" s="67"/>
    </row>
    <row r="299" spans="1:13" x14ac:dyDescent="0.25">
      <c r="A299" s="42" t="s">
        <v>1196</v>
      </c>
      <c r="B299" s="20" t="s">
        <v>916</v>
      </c>
      <c r="C299" s="20" t="s">
        <v>920</v>
      </c>
      <c r="D299" s="20" t="s">
        <v>1250</v>
      </c>
      <c r="E299" s="373" t="s">
        <v>292</v>
      </c>
      <c r="F299" s="374"/>
      <c r="G299" s="88">
        <f>+ROUND(Návrh!H296,-3)/$X$2</f>
        <v>-213</v>
      </c>
      <c r="H299" s="88">
        <f>+ROUND(Návrh!I296,-3)/$X$2</f>
        <v>-77</v>
      </c>
      <c r="I299" s="88">
        <f>+ROUND(Návrh!J296,-3)/$X$2</f>
        <v>-500</v>
      </c>
      <c r="J299" s="88" t="e">
        <f>+ROUND(Návrh!#REF!,-3)/$X$2</f>
        <v>#REF!</v>
      </c>
      <c r="K299" s="88">
        <f>+ROUND(Návrh!K296,-3)/$X$2</f>
        <v>-136</v>
      </c>
      <c r="L299" s="88">
        <f>+ROUND(Návrh!L296,-3)/$X$2</f>
        <v>-100</v>
      </c>
      <c r="M299" s="67"/>
    </row>
    <row r="300" spans="1:13" x14ac:dyDescent="0.25">
      <c r="A300" s="83" t="s">
        <v>1650</v>
      </c>
      <c r="B300" s="21" t="s">
        <v>916</v>
      </c>
      <c r="C300" s="21" t="s">
        <v>919</v>
      </c>
      <c r="D300" s="21" t="s">
        <v>1649</v>
      </c>
      <c r="E300" s="387" t="s">
        <v>1652</v>
      </c>
      <c r="F300" s="388"/>
      <c r="G300" s="95">
        <f>+ROUND(Návrh!H297,-3)/$X$2</f>
        <v>0</v>
      </c>
      <c r="H300" s="95">
        <f>+ROUND(Návrh!I297,-3)/$X$2</f>
        <v>0</v>
      </c>
      <c r="I300" s="95">
        <f>+ROUND(Návrh!J297,-3)/$X$2</f>
        <v>0</v>
      </c>
      <c r="J300" s="95" t="e">
        <f>+ROUND(Návrh!#REF!,-3)/$X$2</f>
        <v>#REF!</v>
      </c>
      <c r="K300" s="95">
        <f>+ROUND(Návrh!K297,-3)/$X$2</f>
        <v>-1393</v>
      </c>
      <c r="L300" s="95">
        <f>+ROUND(Návrh!L297,-3)/$X$2</f>
        <v>-4500</v>
      </c>
      <c r="M300" s="67"/>
    </row>
    <row r="301" spans="1:13" x14ac:dyDescent="0.25">
      <c r="A301" s="83" t="s">
        <v>1651</v>
      </c>
      <c r="B301" s="21" t="s">
        <v>916</v>
      </c>
      <c r="C301" s="21" t="s">
        <v>919</v>
      </c>
      <c r="D301" s="21" t="s">
        <v>1649</v>
      </c>
      <c r="E301" s="387" t="s">
        <v>1653</v>
      </c>
      <c r="F301" s="388"/>
      <c r="G301" s="95">
        <f>+ROUND(Návrh!H298,-3)/$X$2</f>
        <v>0</v>
      </c>
      <c r="H301" s="95">
        <f>+ROUND(Návrh!I298,-3)/$X$2</f>
        <v>0</v>
      </c>
      <c r="I301" s="95">
        <f>+ROUND(Návrh!J298,-3)/$X$2</f>
        <v>0</v>
      </c>
      <c r="J301" s="95" t="e">
        <f>+ROUND(Návrh!#REF!,-3)/$X$2</f>
        <v>#REF!</v>
      </c>
      <c r="K301" s="95">
        <f>+ROUND(Návrh!K298,-3)/$X$2</f>
        <v>-614</v>
      </c>
      <c r="L301" s="95">
        <f>+ROUND(Návrh!L298,-3)/$X$2</f>
        <v>-2200</v>
      </c>
      <c r="M301" s="67"/>
    </row>
    <row r="302" spans="1:13" x14ac:dyDescent="0.25">
      <c r="A302" s="26" t="s">
        <v>1197</v>
      </c>
      <c r="B302" s="26"/>
      <c r="C302" s="23"/>
      <c r="D302" s="23"/>
      <c r="E302" s="379" t="s">
        <v>293</v>
      </c>
      <c r="F302" s="380"/>
      <c r="G302" s="92">
        <f>+ROUND(Návrh!H299,-3)/$X$2</f>
        <v>-619</v>
      </c>
      <c r="H302" s="92">
        <f>+ROUND(Návrh!I299,-3)/$X$2</f>
        <v>-685</v>
      </c>
      <c r="I302" s="92">
        <f>+ROUND(Návrh!J299,-3)/$X$2</f>
        <v>-650</v>
      </c>
      <c r="J302" s="92" t="e">
        <f>+ROUND(Návrh!#REF!,-3)/$X$2</f>
        <v>#REF!</v>
      </c>
      <c r="K302" s="92">
        <f>+ROUND(Návrh!K299,-3)/$X$2</f>
        <v>-938</v>
      </c>
      <c r="L302" s="92">
        <f>+ROUND(Návrh!L299,-3)/$X$2</f>
        <v>-900</v>
      </c>
      <c r="M302" s="67"/>
    </row>
    <row r="303" spans="1:13" x14ac:dyDescent="0.25">
      <c r="A303" s="42" t="s">
        <v>1198</v>
      </c>
      <c r="B303" s="27" t="s">
        <v>916</v>
      </c>
      <c r="C303" s="28" t="s">
        <v>923</v>
      </c>
      <c r="D303" s="28" t="s">
        <v>1643</v>
      </c>
      <c r="E303" s="373" t="s">
        <v>294</v>
      </c>
      <c r="F303" s="374"/>
      <c r="G303" s="88">
        <f>+ROUND(Návrh!H300,-3)/$X$2</f>
        <v>-619</v>
      </c>
      <c r="H303" s="88">
        <f>+ROUND(Návrh!I300,-3)/$X$2</f>
        <v>-685</v>
      </c>
      <c r="I303" s="88">
        <f>+ROUND(Návrh!J300,-3)/$X$2</f>
        <v>-650</v>
      </c>
      <c r="J303" s="88" t="e">
        <f>+ROUND(Návrh!#REF!,-3)/$X$2</f>
        <v>#REF!</v>
      </c>
      <c r="K303" s="88">
        <f>+ROUND(Návrh!K300,-3)/$X$2</f>
        <v>-938</v>
      </c>
      <c r="L303" s="88">
        <f>+ROUND(Návrh!L300,-3)/$X$2</f>
        <v>-900</v>
      </c>
      <c r="M303" s="67"/>
    </row>
    <row r="304" spans="1:13" x14ac:dyDescent="0.25">
      <c r="A304" s="26" t="s">
        <v>1199</v>
      </c>
      <c r="B304" s="26"/>
      <c r="C304" s="23"/>
      <c r="D304" s="23"/>
      <c r="E304" s="379" t="s">
        <v>295</v>
      </c>
      <c r="F304" s="380"/>
      <c r="G304" s="92">
        <f>+ROUND(Návrh!H301,-3)/$X$2</f>
        <v>0</v>
      </c>
      <c r="H304" s="92">
        <f>+ROUND(Návrh!I301,-3)/$X$2</f>
        <v>-10</v>
      </c>
      <c r="I304" s="92">
        <f>+ROUND(Návrh!J301,-3)/$X$2</f>
        <v>0</v>
      </c>
      <c r="J304" s="92" t="e">
        <f>+ROUND(Návrh!#REF!,-3)/$X$2</f>
        <v>#REF!</v>
      </c>
      <c r="K304" s="92">
        <f>+ROUND(Návrh!K301,-3)/$X$2</f>
        <v>-13</v>
      </c>
      <c r="L304" s="92">
        <f>+ROUND(Návrh!L301,-3)/$X$2</f>
        <v>0</v>
      </c>
      <c r="M304" s="67"/>
    </row>
    <row r="305" spans="1:13" x14ac:dyDescent="0.25">
      <c r="A305" s="42" t="s">
        <v>1200</v>
      </c>
      <c r="B305" s="28" t="s">
        <v>916</v>
      </c>
      <c r="C305" s="28" t="s">
        <v>923</v>
      </c>
      <c r="D305" s="28" t="s">
        <v>917</v>
      </c>
      <c r="E305" s="373" t="s">
        <v>296</v>
      </c>
      <c r="F305" s="374"/>
      <c r="G305" s="88">
        <f>+ROUND(Návrh!H302,-3)/$X$2</f>
        <v>0</v>
      </c>
      <c r="H305" s="88">
        <f>+ROUND(Návrh!I302,-3)/$X$2</f>
        <v>-10</v>
      </c>
      <c r="I305" s="88">
        <f>+ROUND(Návrh!J302,-3)/$X$2</f>
        <v>0</v>
      </c>
      <c r="J305" s="88" t="e">
        <f>+ROUND(Návrh!#REF!,-3)/$X$2</f>
        <v>#REF!</v>
      </c>
      <c r="K305" s="88">
        <f>+ROUND(Návrh!K302,-3)/$X$2</f>
        <v>-13</v>
      </c>
      <c r="L305" s="88">
        <f>+ROUND(Návrh!L302,-3)/$X$2</f>
        <v>0</v>
      </c>
      <c r="M305" s="67"/>
    </row>
    <row r="306" spans="1:13" x14ac:dyDescent="0.25">
      <c r="A306" s="26" t="s">
        <v>1201</v>
      </c>
      <c r="B306" s="26"/>
      <c r="C306" s="23"/>
      <c r="D306" s="23"/>
      <c r="E306" s="379" t="s">
        <v>297</v>
      </c>
      <c r="F306" s="380"/>
      <c r="G306" s="92">
        <f>+ROUND(Návrh!H303,-3)/$X$2</f>
        <v>-53117</v>
      </c>
      <c r="H306" s="92">
        <f>+ROUND(Návrh!I303,-3)/$X$2</f>
        <v>-49279</v>
      </c>
      <c r="I306" s="92">
        <f>+ROUND(Návrh!J303,-3)/$X$2</f>
        <v>-76981</v>
      </c>
      <c r="J306" s="92" t="e">
        <f>+ROUND(Návrh!#REF!,-3)/$X$2</f>
        <v>#REF!</v>
      </c>
      <c r="K306" s="92">
        <f>+ROUND(Návrh!K303,-3)/$X$2</f>
        <v>-75191</v>
      </c>
      <c r="L306" s="92">
        <f>+ROUND(Návrh!L303,-3)/$X$2</f>
        <v>-88986</v>
      </c>
      <c r="M306" s="67"/>
    </row>
    <row r="307" spans="1:13" x14ac:dyDescent="0.25">
      <c r="A307" s="42" t="s">
        <v>1202</v>
      </c>
      <c r="B307" s="28" t="s">
        <v>916</v>
      </c>
      <c r="C307" s="28" t="s">
        <v>923</v>
      </c>
      <c r="D307" s="28" t="s">
        <v>1660</v>
      </c>
      <c r="E307" s="373" t="s">
        <v>298</v>
      </c>
      <c r="F307" s="374"/>
      <c r="G307" s="88">
        <f>+ROUND(Návrh!H304,-3)/$X$2</f>
        <v>-1107</v>
      </c>
      <c r="H307" s="88">
        <f>+ROUND(Návrh!I304,-3)/$X$2</f>
        <v>-1164</v>
      </c>
      <c r="I307" s="88">
        <f>+ROUND(Návrh!J304,-3)/$X$2</f>
        <v>-18900</v>
      </c>
      <c r="J307" s="88" t="e">
        <f>+ROUND(Návrh!#REF!,-3)/$X$2</f>
        <v>#REF!</v>
      </c>
      <c r="K307" s="88">
        <f>+ROUND(Návrh!K304,-3)/$X$2</f>
        <v>-22291</v>
      </c>
      <c r="L307" s="88">
        <f>+ROUND(Návrh!L304,-3)/$X$2</f>
        <v>-9960</v>
      </c>
      <c r="M307" s="67"/>
    </row>
    <row r="308" spans="1:13" x14ac:dyDescent="0.25">
      <c r="A308" s="42" t="s">
        <v>1203</v>
      </c>
      <c r="B308" s="28" t="s">
        <v>916</v>
      </c>
      <c r="C308" s="28" t="s">
        <v>923</v>
      </c>
      <c r="D308" s="28" t="s">
        <v>1248</v>
      </c>
      <c r="E308" s="373" t="s">
        <v>299</v>
      </c>
      <c r="F308" s="374"/>
      <c r="G308" s="88">
        <f>+ROUND(Návrh!H305,-3)/$X$2</f>
        <v>-315</v>
      </c>
      <c r="H308" s="88">
        <f>+ROUND(Návrh!I305,-3)/$X$2</f>
        <v>-324</v>
      </c>
      <c r="I308" s="88">
        <f>+ROUND(Návrh!J305,-3)/$X$2</f>
        <v>-1830</v>
      </c>
      <c r="J308" s="88" t="e">
        <f>+ROUND(Návrh!#REF!,-3)/$X$2</f>
        <v>#REF!</v>
      </c>
      <c r="K308" s="88">
        <f>+ROUND(Návrh!K305,-3)/$X$2</f>
        <v>-337</v>
      </c>
      <c r="L308" s="88">
        <f>+ROUND(Návrh!L305,-3)/$X$2</f>
        <v>-1830</v>
      </c>
      <c r="M308" s="67"/>
    </row>
    <row r="309" spans="1:13" x14ac:dyDescent="0.25">
      <c r="A309" s="42" t="s">
        <v>1204</v>
      </c>
      <c r="B309" s="27" t="s">
        <v>916</v>
      </c>
      <c r="C309" s="28" t="s">
        <v>923</v>
      </c>
      <c r="D309" s="28" t="s">
        <v>917</v>
      </c>
      <c r="E309" s="373" t="s">
        <v>300</v>
      </c>
      <c r="F309" s="374"/>
      <c r="G309" s="88">
        <f>+ROUND(Návrh!H306,-3)/$X$2</f>
        <v>-258</v>
      </c>
      <c r="H309" s="88">
        <f>+ROUND(Návrh!I306,-3)/$X$2</f>
        <v>-732</v>
      </c>
      <c r="I309" s="88">
        <f>+ROUND(Návrh!J306,-3)/$X$2</f>
        <v>-72</v>
      </c>
      <c r="J309" s="88" t="e">
        <f>+ROUND(Návrh!#REF!,-3)/$X$2</f>
        <v>#REF!</v>
      </c>
      <c r="K309" s="88">
        <f>+ROUND(Návrh!K306,-3)/$X$2</f>
        <v>-121</v>
      </c>
      <c r="L309" s="88">
        <f>+ROUND(Návrh!L306,-3)/$X$2</f>
        <v>-3183</v>
      </c>
      <c r="M309" s="67"/>
    </row>
    <row r="310" spans="1:13" x14ac:dyDescent="0.25">
      <c r="A310" s="42" t="s">
        <v>1205</v>
      </c>
      <c r="B310" s="28" t="s">
        <v>922</v>
      </c>
      <c r="C310" s="28" t="s">
        <v>923</v>
      </c>
      <c r="D310" s="28" t="s">
        <v>1659</v>
      </c>
      <c r="E310" s="373" t="s">
        <v>301</v>
      </c>
      <c r="F310" s="374"/>
      <c r="G310" s="88">
        <f>+ROUND(Návrh!H307,-3)/$X$2</f>
        <v>-451</v>
      </c>
      <c r="H310" s="88">
        <f>+ROUND(Návrh!I307,-3)/$X$2</f>
        <v>-444</v>
      </c>
      <c r="I310" s="88">
        <f>+ROUND(Návrh!J307,-3)/$X$2</f>
        <v>-665</v>
      </c>
      <c r="J310" s="88" t="e">
        <f>+ROUND(Návrh!#REF!,-3)/$X$2</f>
        <v>#REF!</v>
      </c>
      <c r="K310" s="88">
        <f>+ROUND(Návrh!K307,-3)/$X$2</f>
        <v>-360</v>
      </c>
      <c r="L310" s="88">
        <f>+ROUND(Návrh!L307,-3)/$X$2</f>
        <v>-500</v>
      </c>
      <c r="M310" s="67"/>
    </row>
    <row r="311" spans="1:13" x14ac:dyDescent="0.25">
      <c r="A311" s="42" t="s">
        <v>1206</v>
      </c>
      <c r="B311" s="27" t="s">
        <v>916</v>
      </c>
      <c r="C311" s="28" t="s">
        <v>920</v>
      </c>
      <c r="D311" s="28" t="s">
        <v>917</v>
      </c>
      <c r="E311" s="373" t="s">
        <v>302</v>
      </c>
      <c r="F311" s="374"/>
      <c r="G311" s="88">
        <f>+ROUND(Návrh!H308,-3)/$X$2</f>
        <v>-787</v>
      </c>
      <c r="H311" s="88">
        <f>+ROUND(Návrh!I308,-3)/$X$2</f>
        <v>-788</v>
      </c>
      <c r="I311" s="88">
        <f>+ROUND(Návrh!J308,-3)/$X$2</f>
        <v>-800</v>
      </c>
      <c r="J311" s="88" t="e">
        <f>+ROUND(Návrh!#REF!,-3)/$X$2</f>
        <v>#REF!</v>
      </c>
      <c r="K311" s="88">
        <f>+ROUND(Návrh!K308,-3)/$X$2</f>
        <v>-749</v>
      </c>
      <c r="L311" s="88">
        <f>+ROUND(Návrh!L308,-3)/$X$2</f>
        <v>-800</v>
      </c>
      <c r="M311" s="67"/>
    </row>
    <row r="312" spans="1:13" x14ac:dyDescent="0.25">
      <c r="A312" s="42" t="s">
        <v>1207</v>
      </c>
      <c r="B312" s="27" t="s">
        <v>916</v>
      </c>
      <c r="C312" s="28" t="s">
        <v>920</v>
      </c>
      <c r="D312" s="28" t="s">
        <v>917</v>
      </c>
      <c r="E312" s="373" t="s">
        <v>303</v>
      </c>
      <c r="F312" s="374"/>
      <c r="G312" s="88">
        <f>+ROUND(Návrh!H309,-3)/$X$2</f>
        <v>-4568</v>
      </c>
      <c r="H312" s="88">
        <f>+ROUND(Návrh!I309,-3)/$X$2</f>
        <v>-4032</v>
      </c>
      <c r="I312" s="88">
        <f>+ROUND(Návrh!J309,-3)/$X$2</f>
        <v>-2465</v>
      </c>
      <c r="J312" s="88" t="e">
        <f>+ROUND(Návrh!#REF!,-3)/$X$2</f>
        <v>#REF!</v>
      </c>
      <c r="K312" s="88">
        <f>+ROUND(Návrh!K309,-3)/$X$2</f>
        <v>-3709</v>
      </c>
      <c r="L312" s="88">
        <f>+ROUND(Návrh!L309,-3)/$X$2</f>
        <v>-4790</v>
      </c>
      <c r="M312" s="67"/>
    </row>
    <row r="313" spans="1:13" x14ac:dyDescent="0.25">
      <c r="A313" s="42" t="s">
        <v>1208</v>
      </c>
      <c r="B313" s="28" t="s">
        <v>1241</v>
      </c>
      <c r="C313" s="28" t="s">
        <v>920</v>
      </c>
      <c r="D313" s="28" t="s">
        <v>1251</v>
      </c>
      <c r="E313" s="373" t="s">
        <v>304</v>
      </c>
      <c r="F313" s="374"/>
      <c r="G313" s="88">
        <f>+ROUND(Návrh!H310,-3)/$X$2</f>
        <v>-491</v>
      </c>
      <c r="H313" s="88">
        <f>+ROUND(Návrh!I310,-3)/$X$2</f>
        <v>-1564</v>
      </c>
      <c r="I313" s="88">
        <f>+ROUND(Návrh!J310,-3)/$X$2</f>
        <v>-1760</v>
      </c>
      <c r="J313" s="88" t="e">
        <f>+ROUND(Návrh!#REF!,-3)/$X$2</f>
        <v>#REF!</v>
      </c>
      <c r="K313" s="88">
        <f>+ROUND(Návrh!K310,-3)/$X$2</f>
        <v>-1984</v>
      </c>
      <c r="L313" s="88">
        <f>+ROUND(Návrh!L310,-3)/$X$2</f>
        <v>-1948</v>
      </c>
      <c r="M313" s="67"/>
    </row>
    <row r="314" spans="1:13" x14ac:dyDescent="0.25">
      <c r="A314" s="42" t="s">
        <v>1209</v>
      </c>
      <c r="B314" s="20" t="s">
        <v>1654</v>
      </c>
      <c r="C314" s="20" t="s">
        <v>919</v>
      </c>
      <c r="D314" s="20" t="s">
        <v>1656</v>
      </c>
      <c r="E314" s="373" t="s">
        <v>305</v>
      </c>
      <c r="F314" s="374"/>
      <c r="G314" s="88">
        <f>+ROUND(Návrh!H311,-3)/$X$2</f>
        <v>-819</v>
      </c>
      <c r="H314" s="88">
        <f>+ROUND(Návrh!I311,-3)/$X$2</f>
        <v>-196</v>
      </c>
      <c r="I314" s="88">
        <f>+ROUND(Návrh!J311,-3)/$X$2</f>
        <v>0</v>
      </c>
      <c r="J314" s="88" t="e">
        <f>+ROUND(Návrh!#REF!,-3)/$X$2</f>
        <v>#REF!</v>
      </c>
      <c r="K314" s="88">
        <f>+ROUND(Návrh!K311,-3)/$X$2</f>
        <v>-327</v>
      </c>
      <c r="L314" s="88">
        <f>+ROUND(Návrh!L311,-3)/$X$2</f>
        <v>-500</v>
      </c>
      <c r="M314" s="67"/>
    </row>
    <row r="315" spans="1:13" x14ac:dyDescent="0.25">
      <c r="A315" s="42" t="s">
        <v>1210</v>
      </c>
      <c r="B315" s="20" t="s">
        <v>1654</v>
      </c>
      <c r="C315" s="20" t="s">
        <v>919</v>
      </c>
      <c r="D315" s="20" t="s">
        <v>1661</v>
      </c>
      <c r="E315" s="373" t="s">
        <v>306</v>
      </c>
      <c r="F315" s="374"/>
      <c r="G315" s="88">
        <f>+ROUND(Návrh!H312,-3)/$X$2</f>
        <v>-39504</v>
      </c>
      <c r="H315" s="88">
        <f>+ROUND(Návrh!I312,-3)/$X$2</f>
        <v>-33494</v>
      </c>
      <c r="I315" s="88">
        <f>+ROUND(Návrh!J312,-3)/$X$2</f>
        <v>-44566</v>
      </c>
      <c r="J315" s="88" t="e">
        <f>+ROUND(Návrh!#REF!,-3)/$X$2</f>
        <v>#REF!</v>
      </c>
      <c r="K315" s="88">
        <f>+ROUND(Návrh!K312,-3)/$X$2</f>
        <v>-39223</v>
      </c>
      <c r="L315" s="88">
        <f>+ROUND(Návrh!L312,-3)/$X$2</f>
        <v>-57904</v>
      </c>
      <c r="M315" s="67"/>
    </row>
    <row r="316" spans="1:13" x14ac:dyDescent="0.25">
      <c r="A316" s="42" t="s">
        <v>1211</v>
      </c>
      <c r="B316" s="28" t="s">
        <v>1241</v>
      </c>
      <c r="C316" s="28" t="s">
        <v>920</v>
      </c>
      <c r="D316" s="28" t="s">
        <v>1251</v>
      </c>
      <c r="E316" s="373" t="s">
        <v>307</v>
      </c>
      <c r="F316" s="374"/>
      <c r="G316" s="88">
        <f>+ROUND(Návrh!H313,-3)/$X$2</f>
        <v>-862</v>
      </c>
      <c r="H316" s="88">
        <f>+ROUND(Návrh!I313,-3)/$X$2</f>
        <v>-1036</v>
      </c>
      <c r="I316" s="88">
        <f>+ROUND(Návrh!J313,-3)/$X$2</f>
        <v>-1330</v>
      </c>
      <c r="J316" s="88" t="e">
        <f>+ROUND(Návrh!#REF!,-3)/$X$2</f>
        <v>#REF!</v>
      </c>
      <c r="K316" s="88">
        <f>+ROUND(Návrh!K313,-3)/$X$2</f>
        <v>-562</v>
      </c>
      <c r="L316" s="88">
        <f>+ROUND(Návrh!L313,-3)/$X$2</f>
        <v>-1615</v>
      </c>
      <c r="M316" s="67"/>
    </row>
    <row r="317" spans="1:13" x14ac:dyDescent="0.25">
      <c r="A317" s="42" t="s">
        <v>1212</v>
      </c>
      <c r="B317" s="27" t="s">
        <v>916</v>
      </c>
      <c r="C317" s="28" t="s">
        <v>923</v>
      </c>
      <c r="D317" s="28" t="s">
        <v>917</v>
      </c>
      <c r="E317" s="373" t="s">
        <v>308</v>
      </c>
      <c r="F317" s="374"/>
      <c r="G317" s="88">
        <f>+ROUND(Návrh!H314,-3)/$X$2</f>
        <v>-231</v>
      </c>
      <c r="H317" s="88">
        <f>+ROUND(Návrh!I314,-3)/$X$2</f>
        <v>-380</v>
      </c>
      <c r="I317" s="88">
        <f>+ROUND(Návrh!J314,-3)/$X$2</f>
        <v>-393</v>
      </c>
      <c r="J317" s="88" t="e">
        <f>+ROUND(Návrh!#REF!,-3)/$X$2</f>
        <v>#REF!</v>
      </c>
      <c r="K317" s="88">
        <f>+ROUND(Návrh!K314,-3)/$X$2</f>
        <v>-372</v>
      </c>
      <c r="L317" s="88">
        <f>+ROUND(Návrh!L314,-3)/$X$2</f>
        <v>-400</v>
      </c>
      <c r="M317" s="67"/>
    </row>
    <row r="318" spans="1:13" x14ac:dyDescent="0.25">
      <c r="A318" s="42" t="s">
        <v>1213</v>
      </c>
      <c r="B318" s="28" t="s">
        <v>922</v>
      </c>
      <c r="C318" s="28" t="s">
        <v>923</v>
      </c>
      <c r="D318" s="28" t="s">
        <v>1249</v>
      </c>
      <c r="E318" s="373" t="s">
        <v>309</v>
      </c>
      <c r="F318" s="374"/>
      <c r="G318" s="88">
        <f>+ROUND(Návrh!H315,-3)/$X$2</f>
        <v>-1876</v>
      </c>
      <c r="H318" s="88">
        <f>+ROUND(Návrh!I315,-3)/$X$2</f>
        <v>-2207</v>
      </c>
      <c r="I318" s="88">
        <f>+ROUND(Návrh!J315,-3)/$X$2</f>
        <v>-1500</v>
      </c>
      <c r="J318" s="88" t="e">
        <f>+ROUND(Návrh!#REF!,-3)/$X$2</f>
        <v>#REF!</v>
      </c>
      <c r="K318" s="88">
        <f>+ROUND(Návrh!K315,-3)/$X$2</f>
        <v>-1677</v>
      </c>
      <c r="L318" s="88">
        <f>+ROUND(Návrh!L315,-3)/$X$2</f>
        <v>-2031</v>
      </c>
      <c r="M318" s="67"/>
    </row>
    <row r="319" spans="1:13" x14ac:dyDescent="0.25">
      <c r="A319" s="42" t="s">
        <v>1214</v>
      </c>
      <c r="B319" s="20" t="s">
        <v>1243</v>
      </c>
      <c r="C319" s="20" t="s">
        <v>920</v>
      </c>
      <c r="D319" s="20" t="s">
        <v>1245</v>
      </c>
      <c r="E319" s="373" t="s">
        <v>310</v>
      </c>
      <c r="F319" s="374"/>
      <c r="G319" s="88">
        <f>+ROUND(Návrh!H316,-3)/$X$2</f>
        <v>-751</v>
      </c>
      <c r="H319" s="88">
        <f>+ROUND(Návrh!I316,-3)/$X$2</f>
        <v>-1099</v>
      </c>
      <c r="I319" s="88">
        <f>+ROUND(Návrh!J316,-3)/$X$2</f>
        <v>-1000</v>
      </c>
      <c r="J319" s="88" t="e">
        <f>+ROUND(Návrh!#REF!,-3)/$X$2</f>
        <v>#REF!</v>
      </c>
      <c r="K319" s="88">
        <f>+ROUND(Návrh!K316,-3)/$X$2</f>
        <v>-1177</v>
      </c>
      <c r="L319" s="88">
        <f>+ROUND(Návrh!L316,-3)/$X$2</f>
        <v>-1500</v>
      </c>
      <c r="M319" s="67"/>
    </row>
    <row r="320" spans="1:13" x14ac:dyDescent="0.25">
      <c r="A320" s="42" t="s">
        <v>1215</v>
      </c>
      <c r="B320" s="27" t="s">
        <v>922</v>
      </c>
      <c r="C320" s="28" t="s">
        <v>920</v>
      </c>
      <c r="D320" s="28" t="s">
        <v>1249</v>
      </c>
      <c r="E320" s="373" t="s">
        <v>311</v>
      </c>
      <c r="F320" s="374"/>
      <c r="G320" s="88">
        <f>+ROUND(Návrh!H317,-3)/$X$2</f>
        <v>-922</v>
      </c>
      <c r="H320" s="88">
        <f>+ROUND(Návrh!I317,-3)/$X$2</f>
        <v>-1624</v>
      </c>
      <c r="I320" s="88">
        <f>+ROUND(Návrh!J317,-3)/$X$2</f>
        <v>-1500</v>
      </c>
      <c r="J320" s="88" t="e">
        <f>+ROUND(Návrh!#REF!,-3)/$X$2</f>
        <v>#REF!</v>
      </c>
      <c r="K320" s="88">
        <f>+ROUND(Návrh!K317,-3)/$X$2</f>
        <v>-2278</v>
      </c>
      <c r="L320" s="88">
        <f>+ROUND(Návrh!L317,-3)/$X$2</f>
        <v>-1850</v>
      </c>
      <c r="M320" s="67"/>
    </row>
    <row r="321" spans="1:13" x14ac:dyDescent="0.25">
      <c r="A321" s="42" t="s">
        <v>1216</v>
      </c>
      <c r="B321" s="27" t="s">
        <v>916</v>
      </c>
      <c r="C321" s="28" t="s">
        <v>923</v>
      </c>
      <c r="D321" s="28" t="s">
        <v>917</v>
      </c>
      <c r="E321" s="373" t="s">
        <v>1686</v>
      </c>
      <c r="F321" s="374"/>
      <c r="G321" s="88">
        <f>+ROUND(Návrh!H318,-3)/$X$2</f>
        <v>-173</v>
      </c>
      <c r="H321" s="88">
        <f>+ROUND(Návrh!I318,-3)/$X$2</f>
        <v>-194</v>
      </c>
      <c r="I321" s="88">
        <f>+ROUND(Návrh!J318,-3)/$X$2</f>
        <v>-200</v>
      </c>
      <c r="J321" s="88" t="e">
        <f>+ROUND(Návrh!#REF!,-3)/$X$2</f>
        <v>#REF!</v>
      </c>
      <c r="K321" s="88">
        <f>+ROUND(Návrh!K318,-3)/$X$2</f>
        <v>-23</v>
      </c>
      <c r="L321" s="88">
        <f>+ROUND(Návrh!L318,-3)/$X$2</f>
        <v>-175</v>
      </c>
      <c r="M321" s="67"/>
    </row>
    <row r="322" spans="1:13" x14ac:dyDescent="0.25">
      <c r="A322" s="42" t="s">
        <v>1217</v>
      </c>
      <c r="B322" s="14"/>
      <c r="C322" s="13"/>
      <c r="D322" s="13"/>
      <c r="E322" s="373" t="s">
        <v>312</v>
      </c>
      <c r="F322" s="374"/>
      <c r="G322" s="88">
        <f>+ROUND(Návrh!H319,-3)/$X$2</f>
        <v>0</v>
      </c>
      <c r="H322" s="88">
        <f>+ROUND(Návrh!I319,-3)/$X$2</f>
        <v>0</v>
      </c>
      <c r="I322" s="88">
        <f>+ROUND(Návrh!J319,-3)/$X$2</f>
        <v>0</v>
      </c>
      <c r="J322" s="88" t="e">
        <f>+ROUND(Návrh!#REF!,-3)/$X$2</f>
        <v>#REF!</v>
      </c>
      <c r="K322" s="88">
        <f>+ROUND(Návrh!K319,-3)/$X$2</f>
        <v>0</v>
      </c>
      <c r="L322" s="88">
        <f>+ROUND(Návrh!L319,-3)/$X$2</f>
        <v>0</v>
      </c>
      <c r="M322" s="67"/>
    </row>
    <row r="323" spans="1:13" x14ac:dyDescent="0.25">
      <c r="A323" s="26" t="s">
        <v>1218</v>
      </c>
      <c r="B323" s="26"/>
      <c r="C323" s="23"/>
      <c r="D323" s="23"/>
      <c r="E323" s="379" t="s">
        <v>313</v>
      </c>
      <c r="F323" s="380"/>
      <c r="G323" s="92">
        <f>+ROUND(Návrh!H320,-3)/$X$2</f>
        <v>-154</v>
      </c>
      <c r="H323" s="92">
        <f>+ROUND(Návrh!I320,-3)/$X$2</f>
        <v>-72</v>
      </c>
      <c r="I323" s="92">
        <f>+ROUND(Návrh!J320,-3)/$X$2</f>
        <v>-500</v>
      </c>
      <c r="J323" s="92" t="e">
        <f>+ROUND(Návrh!#REF!,-3)/$X$2</f>
        <v>#REF!</v>
      </c>
      <c r="K323" s="92">
        <f>+ROUND(Návrh!K320,-3)/$X$2</f>
        <v>-149</v>
      </c>
      <c r="L323" s="92">
        <f>+ROUND(Návrh!L320,-3)/$X$2</f>
        <v>-500</v>
      </c>
      <c r="M323" s="67"/>
    </row>
    <row r="324" spans="1:13" x14ac:dyDescent="0.25">
      <c r="A324" s="42" t="s">
        <v>1219</v>
      </c>
      <c r="B324" s="27" t="s">
        <v>916</v>
      </c>
      <c r="C324" s="28" t="s">
        <v>920</v>
      </c>
      <c r="D324" s="28" t="s">
        <v>917</v>
      </c>
      <c r="E324" s="373" t="s">
        <v>314</v>
      </c>
      <c r="F324" s="374"/>
      <c r="G324" s="88">
        <f>+ROUND(Návrh!H321,-3)/$X$2</f>
        <v>-141</v>
      </c>
      <c r="H324" s="88">
        <f>+ROUND(Návrh!I321,-3)/$X$2</f>
        <v>-57</v>
      </c>
      <c r="I324" s="88">
        <f>+ROUND(Návrh!J321,-3)/$X$2</f>
        <v>-500</v>
      </c>
      <c r="J324" s="88" t="e">
        <f>+ROUND(Návrh!#REF!,-3)/$X$2</f>
        <v>#REF!</v>
      </c>
      <c r="K324" s="88">
        <f>+ROUND(Návrh!K321,-3)/$X$2</f>
        <v>-144</v>
      </c>
      <c r="L324" s="88">
        <f>+ROUND(Návrh!L321,-3)/$X$2</f>
        <v>-500</v>
      </c>
      <c r="M324" s="67"/>
    </row>
    <row r="325" spans="1:13" x14ac:dyDescent="0.25">
      <c r="A325" s="42" t="s">
        <v>1220</v>
      </c>
      <c r="B325" s="27"/>
      <c r="C325" s="28"/>
      <c r="D325" s="28"/>
      <c r="E325" s="373" t="s">
        <v>315</v>
      </c>
      <c r="F325" s="374"/>
      <c r="G325" s="88">
        <f>+ROUND(Návrh!H322,-3)/$X$2</f>
        <v>-13</v>
      </c>
      <c r="H325" s="88">
        <f>+ROUND(Návrh!I322,-3)/$X$2</f>
        <v>-15</v>
      </c>
      <c r="I325" s="88">
        <f>+ROUND(Návrh!J322,-3)/$X$2</f>
        <v>0</v>
      </c>
      <c r="J325" s="88" t="e">
        <f>+ROUND(Návrh!#REF!,-3)/$X$2</f>
        <v>#REF!</v>
      </c>
      <c r="K325" s="88">
        <f>+ROUND(Návrh!K322,-3)/$X$2</f>
        <v>-5</v>
      </c>
      <c r="L325" s="88">
        <f>+ROUND(Návrh!L322,-3)/$X$2</f>
        <v>0</v>
      </c>
      <c r="M325" s="67"/>
    </row>
    <row r="326" spans="1:13" x14ac:dyDescent="0.25">
      <c r="A326" s="26" t="s">
        <v>1221</v>
      </c>
      <c r="B326" s="31"/>
      <c r="C326" s="32"/>
      <c r="D326" s="32"/>
      <c r="E326" s="379" t="s">
        <v>316</v>
      </c>
      <c r="F326" s="380"/>
      <c r="G326" s="92">
        <f>+ROUND(Návrh!H323,-3)/$X$2</f>
        <v>-59</v>
      </c>
      <c r="H326" s="92">
        <f>+ROUND(Návrh!I323,-3)/$X$2</f>
        <v>-37</v>
      </c>
      <c r="I326" s="92">
        <f>+ROUND(Návrh!J323,-3)/$X$2</f>
        <v>0</v>
      </c>
      <c r="J326" s="92" t="e">
        <f>+ROUND(Návrh!#REF!,-3)/$X$2</f>
        <v>#REF!</v>
      </c>
      <c r="K326" s="92">
        <f>+ROUND(Návrh!K323,-3)/$X$2</f>
        <v>-48</v>
      </c>
      <c r="L326" s="92">
        <f>+ROUND(Návrh!L323,-3)/$X$2</f>
        <v>0</v>
      </c>
      <c r="M326" s="67"/>
    </row>
    <row r="327" spans="1:13" x14ac:dyDescent="0.25">
      <c r="A327" s="42" t="s">
        <v>1222</v>
      </c>
      <c r="B327" s="14"/>
      <c r="C327" s="13"/>
      <c r="D327" s="13"/>
      <c r="E327" s="373" t="s">
        <v>317</v>
      </c>
      <c r="F327" s="374"/>
      <c r="G327" s="88">
        <f>+ROUND(Návrh!H324,-3)/$X$2</f>
        <v>-3</v>
      </c>
      <c r="H327" s="88">
        <f>+ROUND(Návrh!I324,-3)/$X$2</f>
        <v>-3</v>
      </c>
      <c r="I327" s="88">
        <f>+ROUND(Návrh!J324,-3)/$X$2</f>
        <v>0</v>
      </c>
      <c r="J327" s="88" t="e">
        <f>+ROUND(Návrh!#REF!,-3)/$X$2</f>
        <v>#REF!</v>
      </c>
      <c r="K327" s="88">
        <f>+ROUND(Návrh!K324,-3)/$X$2</f>
        <v>-4</v>
      </c>
      <c r="L327" s="88">
        <f>+ROUND(Návrh!L324,-3)/$X$2</f>
        <v>0</v>
      </c>
      <c r="M327" s="67"/>
    </row>
    <row r="328" spans="1:13" x14ac:dyDescent="0.25">
      <c r="A328" s="42" t="s">
        <v>1223</v>
      </c>
      <c r="B328" s="14"/>
      <c r="C328" s="13"/>
      <c r="D328" s="13"/>
      <c r="E328" s="373" t="s">
        <v>318</v>
      </c>
      <c r="F328" s="374"/>
      <c r="G328" s="88">
        <f>+ROUND(Návrh!H325,-3)/$X$2</f>
        <v>-2</v>
      </c>
      <c r="H328" s="88">
        <f>+ROUND(Návrh!I325,-3)/$X$2</f>
        <v>-3</v>
      </c>
      <c r="I328" s="88">
        <f>+ROUND(Návrh!J325,-3)/$X$2</f>
        <v>0</v>
      </c>
      <c r="J328" s="88" t="e">
        <f>+ROUND(Návrh!#REF!,-3)/$X$2</f>
        <v>#REF!</v>
      </c>
      <c r="K328" s="88">
        <f>+ROUND(Návrh!K325,-3)/$X$2</f>
        <v>-3</v>
      </c>
      <c r="L328" s="88">
        <f>+ROUND(Návrh!L325,-3)/$X$2</f>
        <v>0</v>
      </c>
      <c r="M328" s="67"/>
    </row>
    <row r="329" spans="1:13" x14ac:dyDescent="0.25">
      <c r="A329" s="42" t="s">
        <v>1224</v>
      </c>
      <c r="B329" s="14"/>
      <c r="C329" s="13"/>
      <c r="D329" s="13"/>
      <c r="E329" s="373" t="s">
        <v>319</v>
      </c>
      <c r="F329" s="374"/>
      <c r="G329" s="88">
        <f>+ROUND(Návrh!H326,-3)/$X$2</f>
        <v>-43</v>
      </c>
      <c r="H329" s="88">
        <f>+ROUND(Návrh!I326,-3)/$X$2</f>
        <v>-24</v>
      </c>
      <c r="I329" s="88">
        <f>+ROUND(Návrh!J326,-3)/$X$2</f>
        <v>0</v>
      </c>
      <c r="J329" s="88" t="e">
        <f>+ROUND(Návrh!#REF!,-3)/$X$2</f>
        <v>#REF!</v>
      </c>
      <c r="K329" s="88">
        <f>+ROUND(Návrh!K326,-3)/$X$2</f>
        <v>-22</v>
      </c>
      <c r="L329" s="88">
        <f>+ROUND(Návrh!L326,-3)/$X$2</f>
        <v>0</v>
      </c>
      <c r="M329" s="67"/>
    </row>
    <row r="330" spans="1:13" x14ac:dyDescent="0.25">
      <c r="A330" s="42" t="s">
        <v>1225</v>
      </c>
      <c r="B330" s="14"/>
      <c r="C330" s="13"/>
      <c r="D330" s="13"/>
      <c r="E330" s="373" t="s">
        <v>320</v>
      </c>
      <c r="F330" s="374"/>
      <c r="G330" s="88">
        <f>+ROUND(Návrh!H327,-3)/$X$2</f>
        <v>-7</v>
      </c>
      <c r="H330" s="88">
        <f>+ROUND(Návrh!I327,-3)/$X$2</f>
        <v>-6</v>
      </c>
      <c r="I330" s="88">
        <f>+ROUND(Návrh!J327,-3)/$X$2</f>
        <v>0</v>
      </c>
      <c r="J330" s="88" t="e">
        <f>+ROUND(Návrh!#REF!,-3)/$X$2</f>
        <v>#REF!</v>
      </c>
      <c r="K330" s="88">
        <f>+ROUND(Návrh!K327,-3)/$X$2</f>
        <v>-19</v>
      </c>
      <c r="L330" s="88">
        <f>+ROUND(Návrh!L327,-3)/$X$2</f>
        <v>0</v>
      </c>
      <c r="M330" s="67"/>
    </row>
    <row r="331" spans="1:13" x14ac:dyDescent="0.25">
      <c r="A331" s="42" t="s">
        <v>1226</v>
      </c>
      <c r="B331" s="14"/>
      <c r="C331" s="13"/>
      <c r="D331" s="13"/>
      <c r="E331" s="373" t="s">
        <v>321</v>
      </c>
      <c r="F331" s="374"/>
      <c r="G331" s="88">
        <f>+ROUND(Návrh!H328,-3)/$X$2</f>
        <v>-4</v>
      </c>
      <c r="H331" s="88">
        <f>+ROUND(Návrh!I328,-3)/$X$2</f>
        <v>-1</v>
      </c>
      <c r="I331" s="88">
        <f>+ROUND(Návrh!J328,-3)/$X$2</f>
        <v>0</v>
      </c>
      <c r="J331" s="88" t="e">
        <f>+ROUND(Návrh!#REF!,-3)/$X$2</f>
        <v>#REF!</v>
      </c>
      <c r="K331" s="88">
        <f>+ROUND(Návrh!K328,-3)/$X$2</f>
        <v>0</v>
      </c>
      <c r="L331" s="88">
        <f>+ROUND(Návrh!L328,-3)/$X$2</f>
        <v>0</v>
      </c>
      <c r="M331" s="67"/>
    </row>
    <row r="332" spans="1:13" x14ac:dyDescent="0.25">
      <c r="A332" s="41" t="s">
        <v>322</v>
      </c>
      <c r="B332" s="41"/>
      <c r="C332" s="40"/>
      <c r="D332" s="40"/>
      <c r="E332" s="383" t="s">
        <v>323</v>
      </c>
      <c r="F332" s="384"/>
      <c r="G332" s="89">
        <f>+ROUND(Návrh!H329,-3)/$X$2</f>
        <v>-2579570</v>
      </c>
      <c r="H332" s="89">
        <f>+ROUND(Návrh!I329,-3)/$X$2</f>
        <v>-2922903</v>
      </c>
      <c r="I332" s="89">
        <f>+ROUND(Návrh!J329,-3)/$X$2</f>
        <v>-3200976</v>
      </c>
      <c r="J332" s="89" t="e">
        <f>+ROUND(Návrh!#REF!,-3)/$X$2</f>
        <v>#REF!</v>
      </c>
      <c r="K332" s="89">
        <f>+ROUND(Návrh!K329,-3)/$X$2</f>
        <v>-3255994</v>
      </c>
      <c r="L332" s="89">
        <f>+ROUND(Návrh!L329,-3)/$X$2</f>
        <v>-3441236</v>
      </c>
      <c r="M332" s="67"/>
    </row>
    <row r="333" spans="1:13" x14ac:dyDescent="0.25">
      <c r="A333" s="38" t="s">
        <v>324</v>
      </c>
      <c r="B333" s="38"/>
      <c r="C333" s="22"/>
      <c r="D333" s="22"/>
      <c r="E333" s="385" t="s">
        <v>325</v>
      </c>
      <c r="F333" s="386"/>
      <c r="G333" s="91">
        <f>+ROUND(Návrh!H330,-3)/$X$2</f>
        <v>-1899260</v>
      </c>
      <c r="H333" s="91">
        <f>+ROUND(Návrh!I330,-3)/$X$2</f>
        <v>-2151128</v>
      </c>
      <c r="I333" s="91">
        <f>+ROUND(Návrh!J330,-3)/$X$2</f>
        <v>-2356093</v>
      </c>
      <c r="J333" s="91" t="e">
        <f>+ROUND(Návrh!#REF!,-3)/$X$2</f>
        <v>#REF!</v>
      </c>
      <c r="K333" s="91">
        <f>+ROUND(Návrh!K330,-3)/$X$2</f>
        <v>-2400232</v>
      </c>
      <c r="L333" s="91">
        <f>+ROUND(Návrh!L330,-3)/$X$2</f>
        <v>-2532880</v>
      </c>
      <c r="M333" s="67"/>
    </row>
    <row r="334" spans="1:13" x14ac:dyDescent="0.25">
      <c r="A334" s="26" t="s">
        <v>1227</v>
      </c>
      <c r="B334" s="26"/>
      <c r="C334" s="23"/>
      <c r="D334" s="23"/>
      <c r="E334" s="379" t="s">
        <v>326</v>
      </c>
      <c r="F334" s="380"/>
      <c r="G334" s="92">
        <f>+ROUND(Návrh!H331,-3)/$X$2</f>
        <v>1356</v>
      </c>
      <c r="H334" s="92">
        <f>+ROUND(Návrh!I331,-3)/$X$2</f>
        <v>1475</v>
      </c>
      <c r="I334" s="92">
        <f>+ROUND(Návrh!J331,-3)/$X$2</f>
        <v>0</v>
      </c>
      <c r="J334" s="92" t="e">
        <f>+ROUND(Návrh!#REF!,-3)/$X$2</f>
        <v>#REF!</v>
      </c>
      <c r="K334" s="92">
        <f>+ROUND(Návrh!K331,-3)/$X$2</f>
        <v>1311</v>
      </c>
      <c r="L334" s="92">
        <f>+ROUND(Návrh!L331,-3)/$X$2</f>
        <v>0</v>
      </c>
      <c r="M334" s="67"/>
    </row>
    <row r="335" spans="1:13" x14ac:dyDescent="0.25">
      <c r="A335" s="42" t="s">
        <v>1228</v>
      </c>
      <c r="B335" s="14"/>
      <c r="C335" s="13"/>
      <c r="D335" s="13"/>
      <c r="E335" s="373" t="s">
        <v>327</v>
      </c>
      <c r="F335" s="374"/>
      <c r="G335" s="88">
        <f>+ROUND(Návrh!H332,-3)/$X$2</f>
        <v>1356</v>
      </c>
      <c r="H335" s="88">
        <f>+ROUND(Návrh!I332,-3)/$X$2</f>
        <v>1475</v>
      </c>
      <c r="I335" s="88">
        <f>+ROUND(Návrh!J332,-3)/$X$2</f>
        <v>0</v>
      </c>
      <c r="J335" s="88" t="e">
        <f>+ROUND(Návrh!#REF!,-3)/$X$2</f>
        <v>#REF!</v>
      </c>
      <c r="K335" s="88">
        <f>+ROUND(Návrh!K332,-3)/$X$2</f>
        <v>1311</v>
      </c>
      <c r="L335" s="88">
        <f>+ROUND(Návrh!L332,-3)/$X$2</f>
        <v>0</v>
      </c>
      <c r="M335" s="67"/>
    </row>
    <row r="336" spans="1:13" x14ac:dyDescent="0.25">
      <c r="A336" s="26" t="s">
        <v>1229</v>
      </c>
      <c r="B336" s="24"/>
      <c r="C336" s="23"/>
      <c r="D336" s="23"/>
      <c r="E336" s="379" t="s">
        <v>328</v>
      </c>
      <c r="F336" s="380"/>
      <c r="G336" s="92">
        <f>+ROUND(Návrh!H333,-3)/$X$2</f>
        <v>-1870912</v>
      </c>
      <c r="H336" s="92">
        <f>+ROUND(Návrh!I333,-3)/$X$2</f>
        <v>-2117619</v>
      </c>
      <c r="I336" s="92">
        <f>+ROUND(Návrh!J333,-3)/$X$2</f>
        <v>-2320703</v>
      </c>
      <c r="J336" s="92" t="e">
        <f>+ROUND(Návrh!#REF!,-3)/$X$2</f>
        <v>#REF!</v>
      </c>
      <c r="K336" s="92">
        <f>+ROUND(Návrh!K333,-3)/$X$2</f>
        <v>-2359954</v>
      </c>
      <c r="L336" s="92">
        <f>+ROUND(Návrh!L333,-3)/$X$2</f>
        <v>-2493774</v>
      </c>
      <c r="M336" s="67"/>
    </row>
    <row r="337" spans="1:13" x14ac:dyDescent="0.25">
      <c r="A337" s="42" t="s">
        <v>1230</v>
      </c>
      <c r="B337" s="20" t="s">
        <v>1432</v>
      </c>
      <c r="C337" s="20" t="s">
        <v>920</v>
      </c>
      <c r="D337" s="20" t="s">
        <v>1244</v>
      </c>
      <c r="E337" s="373" t="s">
        <v>329</v>
      </c>
      <c r="F337" s="374"/>
      <c r="G337" s="88">
        <f>+ROUND(Návrh!H334,-3)/$X$2</f>
        <v>-1870912</v>
      </c>
      <c r="H337" s="88">
        <f>+ROUND(Návrh!I334,-3)/$X$2</f>
        <v>-2117619</v>
      </c>
      <c r="I337" s="88">
        <f>+ROUND(Návrh!J334,-3)/$X$2</f>
        <v>-2320703</v>
      </c>
      <c r="J337" s="88" t="e">
        <f>+ROUND(Návrh!#REF!,-3)/$X$2</f>
        <v>#REF!</v>
      </c>
      <c r="K337" s="88">
        <f>+ROUND(Návrh!K334,-3)/$X$2</f>
        <v>-2359954</v>
      </c>
      <c r="L337" s="88">
        <f>+ROUND(Návrh!L334,-3)/$X$2</f>
        <v>-2493774</v>
      </c>
      <c r="M337" s="67"/>
    </row>
    <row r="338" spans="1:13" x14ac:dyDescent="0.25">
      <c r="A338" s="26" t="s">
        <v>1231</v>
      </c>
      <c r="B338" s="24"/>
      <c r="C338" s="23"/>
      <c r="D338" s="23"/>
      <c r="E338" s="379" t="s">
        <v>330</v>
      </c>
      <c r="F338" s="380"/>
      <c r="G338" s="92">
        <f>+ROUND(Návrh!H335,-3)/$X$2</f>
        <v>-74</v>
      </c>
      <c r="H338" s="92">
        <f>+ROUND(Návrh!I335,-3)/$X$2</f>
        <v>-73</v>
      </c>
      <c r="I338" s="92">
        <f>+ROUND(Návrh!J335,-3)/$X$2</f>
        <v>0</v>
      </c>
      <c r="J338" s="92" t="e">
        <f>+ROUND(Návrh!#REF!,-3)/$X$2</f>
        <v>#REF!</v>
      </c>
      <c r="K338" s="92">
        <f>+ROUND(Návrh!K335,-3)/$X$2</f>
        <v>-66</v>
      </c>
      <c r="L338" s="92">
        <f>+ROUND(Návrh!L335,-3)/$X$2</f>
        <v>0</v>
      </c>
      <c r="M338" s="67"/>
    </row>
    <row r="339" spans="1:13" x14ac:dyDescent="0.25">
      <c r="A339" s="42" t="s">
        <v>1232</v>
      </c>
      <c r="B339" s="20"/>
      <c r="C339" s="20"/>
      <c r="D339" s="20"/>
      <c r="E339" s="373" t="s">
        <v>331</v>
      </c>
      <c r="F339" s="374"/>
      <c r="G339" s="88">
        <f>+ROUND(Návrh!H336,-3)/$X$2</f>
        <v>-74</v>
      </c>
      <c r="H339" s="88">
        <f>+ROUND(Návrh!I336,-3)/$X$2</f>
        <v>-73</v>
      </c>
      <c r="I339" s="88">
        <f>+ROUND(Návrh!J336,-3)/$X$2</f>
        <v>0</v>
      </c>
      <c r="J339" s="88" t="e">
        <f>+ROUND(Návrh!#REF!,-3)/$X$2</f>
        <v>#REF!</v>
      </c>
      <c r="K339" s="88">
        <f>+ROUND(Návrh!K336,-3)/$X$2</f>
        <v>-66</v>
      </c>
      <c r="L339" s="88">
        <f>+ROUND(Návrh!L336,-3)/$X$2</f>
        <v>0</v>
      </c>
      <c r="M339" s="67"/>
    </row>
    <row r="340" spans="1:13" x14ac:dyDescent="0.25">
      <c r="A340" s="26" t="s">
        <v>1233</v>
      </c>
      <c r="B340" s="24"/>
      <c r="C340" s="23"/>
      <c r="D340" s="23"/>
      <c r="E340" s="379" t="s">
        <v>332</v>
      </c>
      <c r="F340" s="380"/>
      <c r="G340" s="92">
        <f>+ROUND(Návrh!H337,-3)/$X$2</f>
        <v>469</v>
      </c>
      <c r="H340" s="92">
        <f>+ROUND(Návrh!I337,-3)/$X$2</f>
        <v>578</v>
      </c>
      <c r="I340" s="92">
        <f>+ROUND(Návrh!J337,-3)/$X$2</f>
        <v>0</v>
      </c>
      <c r="J340" s="92" t="e">
        <f>+ROUND(Návrh!#REF!,-3)/$X$2</f>
        <v>#REF!</v>
      </c>
      <c r="K340" s="92">
        <f>+ROUND(Návrh!K337,-3)/$X$2</f>
        <v>552</v>
      </c>
      <c r="L340" s="92">
        <f>+ROUND(Návrh!L337,-3)/$X$2</f>
        <v>0</v>
      </c>
      <c r="M340" s="67"/>
    </row>
    <row r="341" spans="1:13" x14ac:dyDescent="0.25">
      <c r="A341" s="42" t="s">
        <v>1234</v>
      </c>
      <c r="B341" s="20"/>
      <c r="C341" s="20"/>
      <c r="D341" s="20"/>
      <c r="E341" s="373" t="s">
        <v>333</v>
      </c>
      <c r="F341" s="374"/>
      <c r="G341" s="88">
        <f>+ROUND(Návrh!H338,-3)/$X$2</f>
        <v>469</v>
      </c>
      <c r="H341" s="88">
        <f>+ROUND(Návrh!I338,-3)/$X$2</f>
        <v>578</v>
      </c>
      <c r="I341" s="88">
        <f>+ROUND(Návrh!J338,-3)/$X$2</f>
        <v>0</v>
      </c>
      <c r="J341" s="88" t="e">
        <f>+ROUND(Návrh!#REF!,-3)/$X$2</f>
        <v>#REF!</v>
      </c>
      <c r="K341" s="88">
        <f>+ROUND(Návrh!K338,-3)/$X$2</f>
        <v>552</v>
      </c>
      <c r="L341" s="88">
        <f>+ROUND(Návrh!L338,-3)/$X$2</f>
        <v>0</v>
      </c>
      <c r="M341" s="67"/>
    </row>
    <row r="342" spans="1:13" x14ac:dyDescent="0.25">
      <c r="A342" s="26" t="s">
        <v>1235</v>
      </c>
      <c r="B342" s="24"/>
      <c r="C342" s="23"/>
      <c r="D342" s="23"/>
      <c r="E342" s="379" t="s">
        <v>334</v>
      </c>
      <c r="F342" s="380"/>
      <c r="G342" s="92">
        <f>+ROUND(Návrh!H339,-3)/$X$2</f>
        <v>-11</v>
      </c>
      <c r="H342" s="92">
        <f>+ROUND(Návrh!I339,-3)/$X$2</f>
        <v>11</v>
      </c>
      <c r="I342" s="92">
        <f>+ROUND(Návrh!J339,-3)/$X$2</f>
        <v>0</v>
      </c>
      <c r="J342" s="92" t="e">
        <f>+ROUND(Návrh!#REF!,-3)/$X$2</f>
        <v>#REF!</v>
      </c>
      <c r="K342" s="92">
        <f>+ROUND(Návrh!K339,-3)/$X$2</f>
        <v>3</v>
      </c>
      <c r="L342" s="92">
        <f>+ROUND(Návrh!L339,-3)/$X$2</f>
        <v>0</v>
      </c>
      <c r="M342" s="67"/>
    </row>
    <row r="343" spans="1:13" x14ac:dyDescent="0.25">
      <c r="A343" s="42" t="s">
        <v>1236</v>
      </c>
      <c r="B343" s="20"/>
      <c r="C343" s="20"/>
      <c r="D343" s="20"/>
      <c r="E343" s="373" t="s">
        <v>335</v>
      </c>
      <c r="F343" s="374"/>
      <c r="G343" s="88">
        <f>+ROUND(Návrh!H340,-3)/$X$2</f>
        <v>-11</v>
      </c>
      <c r="H343" s="88">
        <f>+ROUND(Návrh!I340,-3)/$X$2</f>
        <v>11</v>
      </c>
      <c r="I343" s="88">
        <f>+ROUND(Návrh!J340,-3)/$X$2</f>
        <v>0</v>
      </c>
      <c r="J343" s="88" t="e">
        <f>+ROUND(Návrh!#REF!,-3)/$X$2</f>
        <v>#REF!</v>
      </c>
      <c r="K343" s="88">
        <f>+ROUND(Návrh!K340,-3)/$X$2</f>
        <v>3</v>
      </c>
      <c r="L343" s="88">
        <f>+ROUND(Návrh!L340,-3)/$X$2</f>
        <v>0</v>
      </c>
      <c r="M343" s="67"/>
    </row>
    <row r="344" spans="1:13" x14ac:dyDescent="0.25">
      <c r="A344" s="26" t="s">
        <v>1237</v>
      </c>
      <c r="B344" s="24"/>
      <c r="C344" s="23"/>
      <c r="D344" s="23"/>
      <c r="E344" s="379" t="s">
        <v>336</v>
      </c>
      <c r="F344" s="380"/>
      <c r="G344" s="92">
        <f>+ROUND(Návrh!H341,-3)/$X$2</f>
        <v>0</v>
      </c>
      <c r="H344" s="92">
        <f>+ROUND(Návrh!I341,-3)/$X$2</f>
        <v>0</v>
      </c>
      <c r="I344" s="92">
        <f>+ROUND(Návrh!J341,-3)/$X$2</f>
        <v>0</v>
      </c>
      <c r="J344" s="92" t="e">
        <f>+ROUND(Návrh!#REF!,-3)/$X$2</f>
        <v>#REF!</v>
      </c>
      <c r="K344" s="92">
        <f>+ROUND(Návrh!K341,-3)/$X$2</f>
        <v>-7</v>
      </c>
      <c r="L344" s="92">
        <f>+ROUND(Návrh!L341,-3)/$X$2</f>
        <v>0</v>
      </c>
      <c r="M344" s="67"/>
    </row>
    <row r="345" spans="1:13" x14ac:dyDescent="0.25">
      <c r="A345" s="42" t="s">
        <v>1238</v>
      </c>
      <c r="B345" s="14"/>
      <c r="C345" s="13"/>
      <c r="D345" s="13"/>
      <c r="E345" s="373" t="s">
        <v>337</v>
      </c>
      <c r="F345" s="374"/>
      <c r="G345" s="88">
        <f>+ROUND(Návrh!H342,-3)/$X$2</f>
        <v>0</v>
      </c>
      <c r="H345" s="88">
        <f>+ROUND(Návrh!I342,-3)/$X$2</f>
        <v>0</v>
      </c>
      <c r="I345" s="88">
        <f>+ROUND(Návrh!J342,-3)/$X$2</f>
        <v>0</v>
      </c>
      <c r="J345" s="88" t="e">
        <f>+ROUND(Návrh!#REF!,-3)/$X$2</f>
        <v>#REF!</v>
      </c>
      <c r="K345" s="88">
        <f>+ROUND(Návrh!K342,-3)/$X$2</f>
        <v>-7</v>
      </c>
      <c r="L345" s="88">
        <f>+ROUND(Návrh!L342,-3)/$X$2</f>
        <v>0</v>
      </c>
      <c r="M345" s="67"/>
    </row>
    <row r="346" spans="1:13" x14ac:dyDescent="0.25">
      <c r="A346" s="26" t="s">
        <v>1239</v>
      </c>
      <c r="B346" s="24"/>
      <c r="C346" s="23"/>
      <c r="D346" s="23"/>
      <c r="E346" s="379" t="s">
        <v>338</v>
      </c>
      <c r="F346" s="380"/>
      <c r="G346" s="92">
        <f>+ROUND(Návrh!H343,-3)/$X$2</f>
        <v>-22099</v>
      </c>
      <c r="H346" s="92">
        <f>+ROUND(Návrh!I343,-3)/$X$2</f>
        <v>-25376</v>
      </c>
      <c r="I346" s="92">
        <f>+ROUND(Návrh!J343,-3)/$X$2</f>
        <v>-25320</v>
      </c>
      <c r="J346" s="92" t="e">
        <f>+ROUND(Návrh!#REF!,-3)/$X$2</f>
        <v>#REF!</v>
      </c>
      <c r="K346" s="92">
        <f>+ROUND(Návrh!K343,-3)/$X$2</f>
        <v>-27748</v>
      </c>
      <c r="L346" s="92">
        <f>+ROUND(Návrh!L343,-3)/$X$2</f>
        <v>-27240</v>
      </c>
      <c r="M346" s="67"/>
    </row>
    <row r="347" spans="1:13" x14ac:dyDescent="0.25">
      <c r="A347" s="42" t="s">
        <v>1240</v>
      </c>
      <c r="B347" s="20" t="s">
        <v>1432</v>
      </c>
      <c r="C347" s="20" t="s">
        <v>920</v>
      </c>
      <c r="D347" s="20" t="s">
        <v>1244</v>
      </c>
      <c r="E347" s="373" t="s">
        <v>339</v>
      </c>
      <c r="F347" s="374"/>
      <c r="G347" s="88">
        <f>+ROUND(Návrh!H344,-3)/$X$2</f>
        <v>-22099</v>
      </c>
      <c r="H347" s="88">
        <f>+ROUND(Návrh!I344,-3)/$X$2</f>
        <v>-25376</v>
      </c>
      <c r="I347" s="88">
        <f>+ROUND(Návrh!J344,-3)/$X$2</f>
        <v>-25320</v>
      </c>
      <c r="J347" s="88" t="e">
        <f>+ROUND(Návrh!#REF!,-3)/$X$2</f>
        <v>#REF!</v>
      </c>
      <c r="K347" s="88">
        <f>+ROUND(Návrh!K344,-3)/$X$2</f>
        <v>-27748</v>
      </c>
      <c r="L347" s="88">
        <f>+ROUND(Návrh!L344,-3)/$X$2</f>
        <v>-27240</v>
      </c>
      <c r="M347" s="67"/>
    </row>
    <row r="348" spans="1:13" x14ac:dyDescent="0.25">
      <c r="A348" s="26" t="s">
        <v>1252</v>
      </c>
      <c r="B348" s="24"/>
      <c r="C348" s="23"/>
      <c r="D348" s="23"/>
      <c r="E348" s="379" t="s">
        <v>340</v>
      </c>
      <c r="F348" s="380"/>
      <c r="G348" s="92">
        <f>+ROUND(Návrh!H345,-3)/$X$2</f>
        <v>-52</v>
      </c>
      <c r="H348" s="92">
        <f>+ROUND(Návrh!I345,-3)/$X$2</f>
        <v>0</v>
      </c>
      <c r="I348" s="92">
        <f>+ROUND(Návrh!J345,-3)/$X$2</f>
        <v>0</v>
      </c>
      <c r="J348" s="92" t="e">
        <f>+ROUND(Návrh!#REF!,-3)/$X$2</f>
        <v>#REF!</v>
      </c>
      <c r="K348" s="92">
        <f>+ROUND(Návrh!K345,-3)/$X$2</f>
        <v>-1918</v>
      </c>
      <c r="L348" s="92">
        <f>+ROUND(Návrh!L345,-3)/$X$2</f>
        <v>0</v>
      </c>
      <c r="M348" s="67"/>
    </row>
    <row r="349" spans="1:13" x14ac:dyDescent="0.25">
      <c r="A349" s="42" t="s">
        <v>1253</v>
      </c>
      <c r="B349" s="20"/>
      <c r="C349" s="20"/>
      <c r="D349" s="20"/>
      <c r="E349" s="373" t="s">
        <v>341</v>
      </c>
      <c r="F349" s="374"/>
      <c r="G349" s="88">
        <f>+ROUND(Návrh!H346,-3)/$X$2</f>
        <v>-52</v>
      </c>
      <c r="H349" s="88">
        <f>+ROUND(Návrh!I346,-3)/$X$2</f>
        <v>0</v>
      </c>
      <c r="I349" s="88">
        <f>+ROUND(Návrh!J346,-3)/$X$2</f>
        <v>0</v>
      </c>
      <c r="J349" s="88" t="e">
        <f>+ROUND(Návrh!#REF!,-3)/$X$2</f>
        <v>#REF!</v>
      </c>
      <c r="K349" s="88">
        <f>+ROUND(Návrh!K346,-3)/$X$2</f>
        <v>-1918</v>
      </c>
      <c r="L349" s="88">
        <f>+ROUND(Návrh!L346,-3)/$X$2</f>
        <v>0</v>
      </c>
      <c r="M349" s="67"/>
    </row>
    <row r="350" spans="1:13" x14ac:dyDescent="0.25">
      <c r="A350" s="26" t="s">
        <v>1254</v>
      </c>
      <c r="B350" s="24"/>
      <c r="C350" s="23"/>
      <c r="D350" s="23"/>
      <c r="E350" s="379" t="s">
        <v>342</v>
      </c>
      <c r="F350" s="380"/>
      <c r="G350" s="92">
        <f>+ROUND(Návrh!H347,-3)/$X$2</f>
        <v>-4156</v>
      </c>
      <c r="H350" s="92">
        <f>+ROUND(Návrh!I347,-3)/$X$2</f>
        <v>-4835</v>
      </c>
      <c r="I350" s="92">
        <f>+ROUND(Návrh!J347,-3)/$X$2</f>
        <v>-4744</v>
      </c>
      <c r="J350" s="92" t="e">
        <f>+ROUND(Návrh!#REF!,-3)/$X$2</f>
        <v>#REF!</v>
      </c>
      <c r="K350" s="92">
        <f>+ROUND(Návrh!K347,-3)/$X$2</f>
        <v>-7357</v>
      </c>
      <c r="L350" s="92">
        <f>+ROUND(Návrh!L347,-3)/$X$2</f>
        <v>-7361</v>
      </c>
      <c r="M350" s="67"/>
    </row>
    <row r="351" spans="1:13" x14ac:dyDescent="0.25">
      <c r="A351" s="42" t="s">
        <v>1255</v>
      </c>
      <c r="B351" s="20" t="s">
        <v>1432</v>
      </c>
      <c r="C351" s="20" t="s">
        <v>920</v>
      </c>
      <c r="D351" s="20" t="s">
        <v>1244</v>
      </c>
      <c r="E351" s="373" t="s">
        <v>343</v>
      </c>
      <c r="F351" s="374"/>
      <c r="G351" s="88">
        <f>+ROUND(Návrh!H348,-3)/$X$2</f>
        <v>-4156</v>
      </c>
      <c r="H351" s="88">
        <f>+ROUND(Návrh!I348,-3)/$X$2</f>
        <v>-4835</v>
      </c>
      <c r="I351" s="88">
        <f>+ROUND(Návrh!J348,-3)/$X$2</f>
        <v>-4744</v>
      </c>
      <c r="J351" s="88" t="e">
        <f>+ROUND(Návrh!#REF!,-3)/$X$2</f>
        <v>#REF!</v>
      </c>
      <c r="K351" s="88">
        <f>+ROUND(Návrh!K348,-3)/$X$2</f>
        <v>-7357</v>
      </c>
      <c r="L351" s="88">
        <f>+ROUND(Návrh!L348,-3)/$X$2</f>
        <v>-7361</v>
      </c>
      <c r="M351" s="67"/>
    </row>
    <row r="352" spans="1:13" x14ac:dyDescent="0.25">
      <c r="A352" s="26" t="s">
        <v>1256</v>
      </c>
      <c r="B352" s="24"/>
      <c r="C352" s="23"/>
      <c r="D352" s="23"/>
      <c r="E352" s="379" t="s">
        <v>344</v>
      </c>
      <c r="F352" s="380"/>
      <c r="G352" s="92">
        <f>+ROUND(Návrh!H349,-3)/$X$2</f>
        <v>-2425</v>
      </c>
      <c r="H352" s="92">
        <f>+ROUND(Návrh!I349,-3)/$X$2</f>
        <v>-3814</v>
      </c>
      <c r="I352" s="92">
        <f>+ROUND(Návrh!J349,-3)/$X$2</f>
        <v>-5326</v>
      </c>
      <c r="J352" s="92" t="e">
        <f>+ROUND(Návrh!#REF!,-3)/$X$2</f>
        <v>#REF!</v>
      </c>
      <c r="K352" s="92">
        <f>+ROUND(Návrh!K349,-3)/$X$2</f>
        <v>-3736</v>
      </c>
      <c r="L352" s="92">
        <f>+ROUND(Návrh!L349,-3)/$X$2</f>
        <v>-4505</v>
      </c>
      <c r="M352" s="67"/>
    </row>
    <row r="353" spans="1:13" x14ac:dyDescent="0.25">
      <c r="A353" s="42" t="s">
        <v>1257</v>
      </c>
      <c r="B353" s="20" t="s">
        <v>916</v>
      </c>
      <c r="C353" s="20" t="s">
        <v>920</v>
      </c>
      <c r="D353" s="20" t="s">
        <v>917</v>
      </c>
      <c r="E353" s="373" t="s">
        <v>345</v>
      </c>
      <c r="F353" s="374"/>
      <c r="G353" s="88">
        <f>+ROUND(Návrh!H350,-3)/$X$2</f>
        <v>-2425</v>
      </c>
      <c r="H353" s="88">
        <f>+ROUND(Návrh!I350,-3)/$X$2</f>
        <v>-3814</v>
      </c>
      <c r="I353" s="88">
        <f>+ROUND(Návrh!J350,-3)/$X$2</f>
        <v>-5326</v>
      </c>
      <c r="J353" s="88" t="e">
        <f>+ROUND(Návrh!#REF!,-3)/$X$2</f>
        <v>#REF!</v>
      </c>
      <c r="K353" s="88">
        <f>+ROUND(Návrh!K350,-3)/$X$2</f>
        <v>-3736</v>
      </c>
      <c r="L353" s="88">
        <f>+ROUND(Návrh!L350,-3)/$X$2</f>
        <v>-4505</v>
      </c>
      <c r="M353" s="67"/>
    </row>
    <row r="354" spans="1:13" x14ac:dyDescent="0.25">
      <c r="A354" s="26" t="s">
        <v>1258</v>
      </c>
      <c r="B354" s="24"/>
      <c r="C354" s="23"/>
      <c r="D354" s="23"/>
      <c r="E354" s="379" t="s">
        <v>346</v>
      </c>
      <c r="F354" s="380"/>
      <c r="G354" s="92">
        <f>+ROUND(Návrh!H351,-3)/$X$2</f>
        <v>-1356</v>
      </c>
      <c r="H354" s="92">
        <f>+ROUND(Návrh!I351,-3)/$X$2</f>
        <v>-1475</v>
      </c>
      <c r="I354" s="92">
        <f>+ROUND(Návrh!J351,-3)/$X$2</f>
        <v>0</v>
      </c>
      <c r="J354" s="92" t="e">
        <f>+ROUND(Návrh!#REF!,-3)/$X$2</f>
        <v>#REF!</v>
      </c>
      <c r="K354" s="92">
        <f>+ROUND(Návrh!K351,-3)/$X$2</f>
        <v>-1311</v>
      </c>
      <c r="L354" s="92">
        <f>+ROUND(Návrh!L351,-3)/$X$2</f>
        <v>0</v>
      </c>
      <c r="M354" s="67"/>
    </row>
    <row r="355" spans="1:13" x14ac:dyDescent="0.25">
      <c r="A355" s="42" t="s">
        <v>1259</v>
      </c>
      <c r="B355" s="14"/>
      <c r="C355" s="13"/>
      <c r="D355" s="13"/>
      <c r="E355" s="373" t="s">
        <v>347</v>
      </c>
      <c r="F355" s="374"/>
      <c r="G355" s="88">
        <f>+ROUND(Návrh!H352,-3)/$X$2</f>
        <v>-1209</v>
      </c>
      <c r="H355" s="88">
        <f>+ROUND(Návrh!I352,-3)/$X$2</f>
        <v>-1443</v>
      </c>
      <c r="I355" s="88">
        <f>+ROUND(Návrh!J352,-3)/$X$2</f>
        <v>0</v>
      </c>
      <c r="J355" s="88" t="e">
        <f>+ROUND(Návrh!#REF!,-3)/$X$2</f>
        <v>#REF!</v>
      </c>
      <c r="K355" s="88">
        <f>+ROUND(Návrh!K352,-3)/$X$2</f>
        <v>-1270</v>
      </c>
      <c r="L355" s="88">
        <f>+ROUND(Návrh!L352,-3)/$X$2</f>
        <v>0</v>
      </c>
      <c r="M355" s="67"/>
    </row>
    <row r="356" spans="1:13" x14ac:dyDescent="0.25">
      <c r="A356" s="42" t="s">
        <v>1260</v>
      </c>
      <c r="B356" s="14"/>
      <c r="C356" s="13"/>
      <c r="D356" s="13"/>
      <c r="E356" s="373" t="s">
        <v>348</v>
      </c>
      <c r="F356" s="374"/>
      <c r="G356" s="88">
        <f>+ROUND(Návrh!H353,-3)/$X$2</f>
        <v>-139</v>
      </c>
      <c r="H356" s="88">
        <f>+ROUND(Návrh!I353,-3)/$X$2</f>
        <v>-25</v>
      </c>
      <c r="I356" s="88">
        <f>+ROUND(Návrh!J353,-3)/$X$2</f>
        <v>0</v>
      </c>
      <c r="J356" s="88" t="e">
        <f>+ROUND(Návrh!#REF!,-3)/$X$2</f>
        <v>#REF!</v>
      </c>
      <c r="K356" s="88">
        <f>+ROUND(Návrh!K353,-3)/$X$2</f>
        <v>-22</v>
      </c>
      <c r="L356" s="88">
        <f>+ROUND(Návrh!L353,-3)/$X$2</f>
        <v>0</v>
      </c>
      <c r="M356" s="67"/>
    </row>
    <row r="357" spans="1:13" x14ac:dyDescent="0.25">
      <c r="A357" s="42" t="s">
        <v>1261</v>
      </c>
      <c r="B357" s="14"/>
      <c r="C357" s="13"/>
      <c r="D357" s="13"/>
      <c r="E357" s="373" t="s">
        <v>349</v>
      </c>
      <c r="F357" s="374"/>
      <c r="G357" s="88">
        <f>+ROUND(Návrh!H354,-3)/$X$2</f>
        <v>0</v>
      </c>
      <c r="H357" s="88">
        <f>+ROUND(Návrh!I354,-3)/$X$2</f>
        <v>0</v>
      </c>
      <c r="I357" s="88">
        <f>+ROUND(Návrh!J354,-3)/$X$2</f>
        <v>0</v>
      </c>
      <c r="J357" s="88" t="e">
        <f>+ROUND(Návrh!#REF!,-3)/$X$2</f>
        <v>#REF!</v>
      </c>
      <c r="K357" s="88">
        <f>+ROUND(Návrh!K354,-3)/$X$2</f>
        <v>-10</v>
      </c>
      <c r="L357" s="88">
        <f>+ROUND(Návrh!L354,-3)/$X$2</f>
        <v>0</v>
      </c>
      <c r="M357" s="67"/>
    </row>
    <row r="358" spans="1:13" x14ac:dyDescent="0.25">
      <c r="A358" s="42" t="s">
        <v>1262</v>
      </c>
      <c r="B358" s="14"/>
      <c r="C358" s="13"/>
      <c r="D358" s="13"/>
      <c r="E358" s="373" t="s">
        <v>350</v>
      </c>
      <c r="F358" s="374"/>
      <c r="G358" s="88">
        <f>+ROUND(Návrh!H355,-3)/$X$2</f>
        <v>-9</v>
      </c>
      <c r="H358" s="88">
        <f>+ROUND(Návrh!I355,-3)/$X$2</f>
        <v>-7</v>
      </c>
      <c r="I358" s="88">
        <f>+ROUND(Návrh!J355,-3)/$X$2</f>
        <v>0</v>
      </c>
      <c r="J358" s="88" t="e">
        <f>+ROUND(Návrh!#REF!,-3)/$X$2</f>
        <v>#REF!</v>
      </c>
      <c r="K358" s="88">
        <f>+ROUND(Návrh!K355,-3)/$X$2</f>
        <v>-9</v>
      </c>
      <c r="L358" s="88">
        <f>+ROUND(Návrh!L355,-3)/$X$2</f>
        <v>0</v>
      </c>
      <c r="M358" s="67"/>
    </row>
    <row r="359" spans="1:13" x14ac:dyDescent="0.25">
      <c r="A359" s="38" t="s">
        <v>351</v>
      </c>
      <c r="B359" s="38"/>
      <c r="C359" s="22"/>
      <c r="D359" s="22"/>
      <c r="E359" s="385" t="s">
        <v>352</v>
      </c>
      <c r="F359" s="386"/>
      <c r="G359" s="91">
        <f>+ROUND(Návrh!H356,-3)/$X$2</f>
        <v>0</v>
      </c>
      <c r="H359" s="91">
        <f>+ROUND(Návrh!I356,-3)/$X$2</f>
        <v>0</v>
      </c>
      <c r="I359" s="91">
        <f>+ROUND(Návrh!J356,-3)/$X$2</f>
        <v>0</v>
      </c>
      <c r="J359" s="91" t="e">
        <f>+ROUND(Návrh!#REF!,-3)/$X$2</f>
        <v>#REF!</v>
      </c>
      <c r="K359" s="91">
        <f>+ROUND(Návrh!K356,-3)/$X$2</f>
        <v>0</v>
      </c>
      <c r="L359" s="91">
        <f>+ROUND(Návrh!L356,-3)/$X$2</f>
        <v>0</v>
      </c>
      <c r="M359" s="67"/>
    </row>
    <row r="360" spans="1:13" x14ac:dyDescent="0.25">
      <c r="A360" s="38" t="s">
        <v>353</v>
      </c>
      <c r="B360" s="38"/>
      <c r="C360" s="22"/>
      <c r="D360" s="22"/>
      <c r="E360" s="385" t="s">
        <v>354</v>
      </c>
      <c r="F360" s="386"/>
      <c r="G360" s="91">
        <f>+ROUND(Návrh!H357,-3)/$X$2</f>
        <v>0</v>
      </c>
      <c r="H360" s="91">
        <f>+ROUND(Návrh!I357,-3)/$X$2</f>
        <v>0</v>
      </c>
      <c r="I360" s="91">
        <f>+ROUND(Návrh!J357,-3)/$X$2</f>
        <v>0</v>
      </c>
      <c r="J360" s="91" t="e">
        <f>+ROUND(Návrh!#REF!,-3)/$X$2</f>
        <v>#REF!</v>
      </c>
      <c r="K360" s="91">
        <f>+ROUND(Návrh!K357,-3)/$X$2</f>
        <v>0</v>
      </c>
      <c r="L360" s="91">
        <f>+ROUND(Návrh!L357,-3)/$X$2</f>
        <v>0</v>
      </c>
      <c r="M360" s="67"/>
    </row>
    <row r="361" spans="1:13" x14ac:dyDescent="0.25">
      <c r="A361" s="38" t="s">
        <v>355</v>
      </c>
      <c r="B361" s="38"/>
      <c r="C361" s="22"/>
      <c r="D361" s="22"/>
      <c r="E361" s="385" t="s">
        <v>356</v>
      </c>
      <c r="F361" s="386"/>
      <c r="G361" s="91">
        <f>+ROUND(Návrh!H358,-3)/$X$2</f>
        <v>-634874</v>
      </c>
      <c r="H361" s="91">
        <f>+ROUND(Návrh!I358,-3)/$X$2</f>
        <v>-720337</v>
      </c>
      <c r="I361" s="91">
        <f>+ROUND(Návrh!J358,-3)/$X$2</f>
        <v>-788099</v>
      </c>
      <c r="J361" s="91" t="e">
        <f>+ROUND(Návrh!#REF!,-3)/$X$2</f>
        <v>#REF!</v>
      </c>
      <c r="K361" s="91">
        <f>+ROUND(Návrh!K358,-3)/$X$2</f>
        <v>-801139</v>
      </c>
      <c r="L361" s="91">
        <f>+ROUND(Návrh!L358,-3)/$X$2</f>
        <v>-847225</v>
      </c>
      <c r="M361" s="67"/>
    </row>
    <row r="362" spans="1:13" x14ac:dyDescent="0.25">
      <c r="A362" s="26" t="s">
        <v>1263</v>
      </c>
      <c r="B362" s="26"/>
      <c r="C362" s="23"/>
      <c r="D362" s="23"/>
      <c r="E362" s="379" t="s">
        <v>357</v>
      </c>
      <c r="F362" s="380"/>
      <c r="G362" s="92">
        <f>+ROUND(Návrh!H359,-3)/$X$2</f>
        <v>459</v>
      </c>
      <c r="H362" s="92">
        <f>+ROUND(Návrh!I359,-3)/$X$2</f>
        <v>491</v>
      </c>
      <c r="I362" s="92">
        <f>+ROUND(Návrh!J359,-3)/$X$2</f>
        <v>0</v>
      </c>
      <c r="J362" s="92" t="e">
        <f>+ROUND(Návrh!#REF!,-3)/$X$2</f>
        <v>#REF!</v>
      </c>
      <c r="K362" s="92">
        <f>+ROUND(Návrh!K359,-3)/$X$2</f>
        <v>431</v>
      </c>
      <c r="L362" s="92">
        <f>+ROUND(Návrh!L359,-3)/$X$2</f>
        <v>0</v>
      </c>
      <c r="M362" s="67"/>
    </row>
    <row r="363" spans="1:13" x14ac:dyDescent="0.25">
      <c r="A363" s="42" t="s">
        <v>1264</v>
      </c>
      <c r="B363" s="14"/>
      <c r="C363" s="13"/>
      <c r="D363" s="13"/>
      <c r="E363" s="373" t="s">
        <v>358</v>
      </c>
      <c r="F363" s="374"/>
      <c r="G363" s="88">
        <f>+ROUND(Návrh!H360,-3)/$X$2</f>
        <v>459</v>
      </c>
      <c r="H363" s="88">
        <f>+ROUND(Návrh!I360,-3)/$X$2</f>
        <v>491</v>
      </c>
      <c r="I363" s="88">
        <f>+ROUND(Návrh!J360,-3)/$X$2</f>
        <v>0</v>
      </c>
      <c r="J363" s="88" t="e">
        <f>+ROUND(Návrh!#REF!,-3)/$X$2</f>
        <v>#REF!</v>
      </c>
      <c r="K363" s="88">
        <f>+ROUND(Návrh!K360,-3)/$X$2</f>
        <v>431</v>
      </c>
      <c r="L363" s="88">
        <f>+ROUND(Návrh!L360,-3)/$X$2</f>
        <v>0</v>
      </c>
      <c r="M363" s="67"/>
    </row>
    <row r="364" spans="1:13" x14ac:dyDescent="0.25">
      <c r="A364" s="26" t="s">
        <v>1265</v>
      </c>
      <c r="B364" s="23"/>
      <c r="C364" s="23"/>
      <c r="D364" s="23"/>
      <c r="E364" s="379" t="s">
        <v>359</v>
      </c>
      <c r="F364" s="380"/>
      <c r="G364" s="92">
        <f>+ROUND(Návrh!H361,-3)/$X$2</f>
        <v>-170343</v>
      </c>
      <c r="H364" s="92">
        <f>+ROUND(Návrh!I361,-3)/$X$2</f>
        <v>-192976</v>
      </c>
      <c r="I364" s="92">
        <f>+ROUND(Návrh!J361,-3)/$X$2</f>
        <v>-211120</v>
      </c>
      <c r="J364" s="92" t="e">
        <f>+ROUND(Návrh!#REF!,-3)/$X$2</f>
        <v>#REF!</v>
      </c>
      <c r="K364" s="92">
        <f>+ROUND(Návrh!K361,-3)/$X$2</f>
        <v>-214896</v>
      </c>
      <c r="L364" s="92">
        <f>+ROUND(Návrh!L361,-3)/$X$2</f>
        <v>-227246</v>
      </c>
      <c r="M364" s="67"/>
    </row>
    <row r="365" spans="1:13" x14ac:dyDescent="0.25">
      <c r="A365" s="42" t="s">
        <v>1266</v>
      </c>
      <c r="B365" s="20" t="s">
        <v>1432</v>
      </c>
      <c r="C365" s="20" t="s">
        <v>920</v>
      </c>
      <c r="D365" s="20" t="s">
        <v>1244</v>
      </c>
      <c r="E365" s="373" t="s">
        <v>360</v>
      </c>
      <c r="F365" s="374"/>
      <c r="G365" s="88">
        <f>+ROUND(Návrh!H362,-3)/$X$2</f>
        <v>-170343</v>
      </c>
      <c r="H365" s="88">
        <f>+ROUND(Návrh!I362,-3)/$X$2</f>
        <v>-192976</v>
      </c>
      <c r="I365" s="88">
        <f>+ROUND(Návrh!J362,-3)/$X$2</f>
        <v>-211120</v>
      </c>
      <c r="J365" s="88" t="e">
        <f>+ROUND(Návrh!#REF!,-3)/$X$2</f>
        <v>#REF!</v>
      </c>
      <c r="K365" s="88">
        <f>+ROUND(Návrh!K362,-3)/$X$2</f>
        <v>-214896</v>
      </c>
      <c r="L365" s="88">
        <f>+ROUND(Návrh!L362,-3)/$X$2</f>
        <v>-227246</v>
      </c>
      <c r="M365" s="67"/>
    </row>
    <row r="366" spans="1:13" x14ac:dyDescent="0.25">
      <c r="A366" s="26" t="s">
        <v>1267</v>
      </c>
      <c r="B366" s="26"/>
      <c r="C366" s="23"/>
      <c r="D366" s="23"/>
      <c r="E366" s="379" t="s">
        <v>361</v>
      </c>
      <c r="F366" s="380"/>
      <c r="G366" s="92">
        <f>+ROUND(Návrh!H363,-3)/$X$2</f>
        <v>-464687</v>
      </c>
      <c r="H366" s="92">
        <f>+ROUND(Návrh!I363,-3)/$X$2</f>
        <v>-527558</v>
      </c>
      <c r="I366" s="92">
        <f>+ROUND(Návrh!J363,-3)/$X$2</f>
        <v>-576979</v>
      </c>
      <c r="J366" s="92" t="e">
        <f>+ROUND(Návrh!#REF!,-3)/$X$2</f>
        <v>#REF!</v>
      </c>
      <c r="K366" s="92">
        <f>+ROUND(Návrh!K363,-3)/$X$2</f>
        <v>-586429</v>
      </c>
      <c r="L366" s="92">
        <f>+ROUND(Návrh!L363,-3)/$X$2</f>
        <v>-619979</v>
      </c>
      <c r="M366" s="67"/>
    </row>
    <row r="367" spans="1:13" x14ac:dyDescent="0.25">
      <c r="A367" s="42" t="s">
        <v>1268</v>
      </c>
      <c r="B367" s="20" t="s">
        <v>1432</v>
      </c>
      <c r="C367" s="20" t="s">
        <v>920</v>
      </c>
      <c r="D367" s="20" t="s">
        <v>1244</v>
      </c>
      <c r="E367" s="373" t="s">
        <v>362</v>
      </c>
      <c r="F367" s="374"/>
      <c r="G367" s="88">
        <f>+ROUND(Návrh!H364,-3)/$X$2</f>
        <v>-464687</v>
      </c>
      <c r="H367" s="88">
        <f>+ROUND(Návrh!I364,-3)/$X$2</f>
        <v>-527558</v>
      </c>
      <c r="I367" s="88">
        <f>+ROUND(Návrh!J364,-3)/$X$2</f>
        <v>-576979</v>
      </c>
      <c r="J367" s="88" t="e">
        <f>+ROUND(Návrh!#REF!,-3)/$X$2</f>
        <v>#REF!</v>
      </c>
      <c r="K367" s="88">
        <f>+ROUND(Návrh!K364,-3)/$X$2</f>
        <v>-586429</v>
      </c>
      <c r="L367" s="88">
        <f>+ROUND(Návrh!L364,-3)/$X$2</f>
        <v>-619979</v>
      </c>
      <c r="M367" s="67"/>
    </row>
    <row r="368" spans="1:13" x14ac:dyDescent="0.25">
      <c r="A368" s="26" t="s">
        <v>1269</v>
      </c>
      <c r="B368" s="26"/>
      <c r="C368" s="23"/>
      <c r="D368" s="23"/>
      <c r="E368" s="379" t="s">
        <v>363</v>
      </c>
      <c r="F368" s="380"/>
      <c r="G368" s="92">
        <f>+ROUND(Návrh!H365,-3)/$X$2</f>
        <v>41</v>
      </c>
      <c r="H368" s="92">
        <f>+ROUND(Návrh!I365,-3)/$X$2</f>
        <v>52</v>
      </c>
      <c r="I368" s="92">
        <f>+ROUND(Návrh!J365,-3)/$X$2</f>
        <v>0</v>
      </c>
      <c r="J368" s="92" t="e">
        <f>+ROUND(Návrh!#REF!,-3)/$X$2</f>
        <v>#REF!</v>
      </c>
      <c r="K368" s="92">
        <f>+ROUND(Návrh!K365,-3)/$X$2</f>
        <v>49</v>
      </c>
      <c r="L368" s="92">
        <f>+ROUND(Návrh!L365,-3)/$X$2</f>
        <v>0</v>
      </c>
      <c r="M368" s="67"/>
    </row>
    <row r="369" spans="1:13" x14ac:dyDescent="0.25">
      <c r="A369" s="42" t="s">
        <v>1270</v>
      </c>
      <c r="B369" s="20"/>
      <c r="C369" s="20"/>
      <c r="D369" s="20"/>
      <c r="E369" s="373" t="s">
        <v>364</v>
      </c>
      <c r="F369" s="374"/>
      <c r="G369" s="88">
        <f>+ROUND(Návrh!H366,-3)/$X$2</f>
        <v>41</v>
      </c>
      <c r="H369" s="88">
        <f>+ROUND(Návrh!I366,-3)/$X$2</f>
        <v>52</v>
      </c>
      <c r="I369" s="88">
        <f>+ROUND(Návrh!J366,-3)/$X$2</f>
        <v>0</v>
      </c>
      <c r="J369" s="88" t="e">
        <f>+ROUND(Návrh!#REF!,-3)/$X$2</f>
        <v>#REF!</v>
      </c>
      <c r="K369" s="88">
        <f>+ROUND(Návrh!K366,-3)/$X$2</f>
        <v>49</v>
      </c>
      <c r="L369" s="88">
        <f>+ROUND(Návrh!L366,-3)/$X$2</f>
        <v>0</v>
      </c>
      <c r="M369" s="67"/>
    </row>
    <row r="370" spans="1:13" x14ac:dyDescent="0.25">
      <c r="A370" s="26" t="s">
        <v>1271</v>
      </c>
      <c r="B370" s="26"/>
      <c r="C370" s="23"/>
      <c r="D370" s="23"/>
      <c r="E370" s="379" t="s">
        <v>365</v>
      </c>
      <c r="F370" s="380"/>
      <c r="G370" s="92">
        <f>+ROUND(Návrh!H367,-3)/$X$2</f>
        <v>114</v>
      </c>
      <c r="H370" s="92">
        <f>+ROUND(Návrh!I367,-3)/$X$2</f>
        <v>145</v>
      </c>
      <c r="I370" s="92">
        <f>+ROUND(Návrh!J367,-3)/$X$2</f>
        <v>0</v>
      </c>
      <c r="J370" s="92" t="e">
        <f>+ROUND(Návrh!#REF!,-3)/$X$2</f>
        <v>#REF!</v>
      </c>
      <c r="K370" s="92">
        <f>+ROUND(Návrh!K367,-3)/$X$2</f>
        <v>137</v>
      </c>
      <c r="L370" s="92">
        <f>+ROUND(Návrh!L367,-3)/$X$2</f>
        <v>0</v>
      </c>
      <c r="M370" s="67"/>
    </row>
    <row r="371" spans="1:13" x14ac:dyDescent="0.25">
      <c r="A371" s="42" t="s">
        <v>1272</v>
      </c>
      <c r="B371" s="20"/>
      <c r="C371" s="20"/>
      <c r="D371" s="20"/>
      <c r="E371" s="373" t="s">
        <v>366</v>
      </c>
      <c r="F371" s="374"/>
      <c r="G371" s="88">
        <f>+ROUND(Návrh!H368,-3)/$X$2</f>
        <v>114</v>
      </c>
      <c r="H371" s="88">
        <f>+ROUND(Návrh!I368,-3)/$X$2</f>
        <v>145</v>
      </c>
      <c r="I371" s="88">
        <f>+ROUND(Návrh!J368,-3)/$X$2</f>
        <v>0</v>
      </c>
      <c r="J371" s="88" t="e">
        <f>+ROUND(Návrh!#REF!,-3)/$X$2</f>
        <v>#REF!</v>
      </c>
      <c r="K371" s="88">
        <f>+ROUND(Návrh!K368,-3)/$X$2</f>
        <v>137</v>
      </c>
      <c r="L371" s="88">
        <f>+ROUND(Návrh!L368,-3)/$X$2</f>
        <v>0</v>
      </c>
      <c r="M371" s="67"/>
    </row>
    <row r="372" spans="1:13" x14ac:dyDescent="0.25">
      <c r="A372" s="26" t="s">
        <v>1273</v>
      </c>
      <c r="B372" s="26"/>
      <c r="C372" s="23"/>
      <c r="D372" s="23"/>
      <c r="E372" s="379" t="s">
        <v>367</v>
      </c>
      <c r="F372" s="380"/>
      <c r="G372" s="92">
        <f>+ROUND(Návrh!H369,-3)/$X$2</f>
        <v>-459</v>
      </c>
      <c r="H372" s="92">
        <f>+ROUND(Návrh!I369,-3)/$X$2</f>
        <v>-491</v>
      </c>
      <c r="I372" s="92">
        <f>+ROUND(Návrh!J369,-3)/$X$2</f>
        <v>0</v>
      </c>
      <c r="J372" s="92" t="e">
        <f>+ROUND(Návrh!#REF!,-3)/$X$2</f>
        <v>#REF!</v>
      </c>
      <c r="K372" s="92">
        <f>+ROUND(Návrh!K369,-3)/$X$2</f>
        <v>-431</v>
      </c>
      <c r="L372" s="92">
        <f>+ROUND(Návrh!L369,-3)/$X$2</f>
        <v>0</v>
      </c>
      <c r="M372" s="67"/>
    </row>
    <row r="373" spans="1:13" x14ac:dyDescent="0.25">
      <c r="A373" s="42" t="s">
        <v>1274</v>
      </c>
      <c r="B373" s="14"/>
      <c r="C373" s="13"/>
      <c r="D373" s="13"/>
      <c r="E373" s="373" t="s">
        <v>368</v>
      </c>
      <c r="F373" s="374"/>
      <c r="G373" s="88">
        <f>+ROUND(Návrh!H370,-3)/$X$2</f>
        <v>-121</v>
      </c>
      <c r="H373" s="88">
        <f>+ROUND(Návrh!I370,-3)/$X$2</f>
        <v>-130</v>
      </c>
      <c r="I373" s="88">
        <f>+ROUND(Návrh!J370,-3)/$X$2</f>
        <v>0</v>
      </c>
      <c r="J373" s="88" t="e">
        <f>+ROUND(Návrh!#REF!,-3)/$X$2</f>
        <v>#REF!</v>
      </c>
      <c r="K373" s="88">
        <f>+ROUND(Návrh!K370,-3)/$X$2</f>
        <v>-114</v>
      </c>
      <c r="L373" s="88">
        <f>+ROUND(Návrh!L370,-3)/$X$2</f>
        <v>0</v>
      </c>
      <c r="M373" s="67"/>
    </row>
    <row r="374" spans="1:13" x14ac:dyDescent="0.25">
      <c r="A374" s="42" t="s">
        <v>1275</v>
      </c>
      <c r="B374" s="14"/>
      <c r="C374" s="13"/>
      <c r="D374" s="13"/>
      <c r="E374" s="373" t="s">
        <v>369</v>
      </c>
      <c r="F374" s="374"/>
      <c r="G374" s="88">
        <f>+ROUND(Návrh!H371,-3)/$X$2</f>
        <v>-337</v>
      </c>
      <c r="H374" s="88">
        <f>+ROUND(Návrh!I371,-3)/$X$2</f>
        <v>-361</v>
      </c>
      <c r="I374" s="88">
        <f>+ROUND(Návrh!J371,-3)/$X$2</f>
        <v>0</v>
      </c>
      <c r="J374" s="88" t="e">
        <f>+ROUND(Návrh!#REF!,-3)/$X$2</f>
        <v>#REF!</v>
      </c>
      <c r="K374" s="88">
        <f>+ROUND(Návrh!K371,-3)/$X$2</f>
        <v>-317</v>
      </c>
      <c r="L374" s="88">
        <f>+ROUND(Návrh!L371,-3)/$X$2</f>
        <v>0</v>
      </c>
      <c r="M374" s="67"/>
    </row>
    <row r="375" spans="1:13" x14ac:dyDescent="0.25">
      <c r="A375" s="38" t="s">
        <v>370</v>
      </c>
      <c r="B375" s="38"/>
      <c r="C375" s="22"/>
      <c r="D375" s="22"/>
      <c r="E375" s="385" t="s">
        <v>371</v>
      </c>
      <c r="F375" s="386"/>
      <c r="G375" s="91">
        <f>+ROUND(Návrh!H372,-3)/$X$2</f>
        <v>-7943</v>
      </c>
      <c r="H375" s="91">
        <f>+ROUND(Návrh!I372,-3)/$X$2</f>
        <v>-9000</v>
      </c>
      <c r="I375" s="91">
        <f>+ROUND(Návrh!J372,-3)/$X$2</f>
        <v>-9732</v>
      </c>
      <c r="J375" s="91" t="e">
        <f>+ROUND(Návrh!#REF!,-3)/$X$2</f>
        <v>#REF!</v>
      </c>
      <c r="K375" s="91">
        <f>+ROUND(Návrh!K372,-3)/$X$2</f>
        <v>-7273</v>
      </c>
      <c r="L375" s="91">
        <f>+ROUND(Návrh!L372,-3)/$X$2</f>
        <v>-10474</v>
      </c>
      <c r="M375" s="67"/>
    </row>
    <row r="376" spans="1:13" x14ac:dyDescent="0.25">
      <c r="A376" s="26" t="s">
        <v>1276</v>
      </c>
      <c r="B376" s="26"/>
      <c r="C376" s="23"/>
      <c r="D376" s="23"/>
      <c r="E376" s="379" t="s">
        <v>372</v>
      </c>
      <c r="F376" s="380"/>
      <c r="G376" s="92">
        <f>+ROUND(Návrh!H373,-3)/$X$2</f>
        <v>-7943</v>
      </c>
      <c r="H376" s="92">
        <f>+ROUND(Návrh!I373,-3)/$X$2</f>
        <v>-9000</v>
      </c>
      <c r="I376" s="92">
        <f>+ROUND(Návrh!J373,-3)/$X$2</f>
        <v>-9732</v>
      </c>
      <c r="J376" s="92" t="e">
        <f>+ROUND(Návrh!#REF!,-3)/$X$2</f>
        <v>#REF!</v>
      </c>
      <c r="K376" s="92">
        <f>+ROUND(Návrh!K373,-3)/$X$2</f>
        <v>-7273</v>
      </c>
      <c r="L376" s="92">
        <f>+ROUND(Návrh!L373,-3)/$X$2</f>
        <v>-10474</v>
      </c>
      <c r="M376" s="67"/>
    </row>
    <row r="377" spans="1:13" x14ac:dyDescent="0.25">
      <c r="A377" s="42" t="s">
        <v>1277</v>
      </c>
      <c r="B377" s="20" t="s">
        <v>1432</v>
      </c>
      <c r="C377" s="20" t="s">
        <v>920</v>
      </c>
      <c r="D377" s="20" t="s">
        <v>1244</v>
      </c>
      <c r="E377" s="373" t="s">
        <v>373</v>
      </c>
      <c r="F377" s="374"/>
      <c r="G377" s="88">
        <f>+ROUND(Návrh!H374,-3)/$X$2</f>
        <v>-7943</v>
      </c>
      <c r="H377" s="88">
        <f>+ROUND(Návrh!I374,-3)/$X$2</f>
        <v>-9000</v>
      </c>
      <c r="I377" s="88">
        <f>+ROUND(Návrh!J374,-3)/$X$2</f>
        <v>-9732</v>
      </c>
      <c r="J377" s="88" t="e">
        <f>+ROUND(Návrh!#REF!,-3)/$X$2</f>
        <v>#REF!</v>
      </c>
      <c r="K377" s="88">
        <f>+ROUND(Návrh!K374,-3)/$X$2</f>
        <v>-7273</v>
      </c>
      <c r="L377" s="88">
        <f>+ROUND(Návrh!L374,-3)/$X$2</f>
        <v>-10474</v>
      </c>
      <c r="M377" s="67"/>
    </row>
    <row r="378" spans="1:13" x14ac:dyDescent="0.25">
      <c r="A378" s="83" t="s">
        <v>1662</v>
      </c>
      <c r="B378" s="21" t="s">
        <v>1432</v>
      </c>
      <c r="C378" s="21" t="s">
        <v>920</v>
      </c>
      <c r="D378" s="21" t="s">
        <v>1245</v>
      </c>
      <c r="E378" s="387" t="s">
        <v>1663</v>
      </c>
      <c r="F378" s="388"/>
      <c r="G378" s="95">
        <f>+ROUND(Návrh!H375,-3)/$X$2</f>
        <v>0</v>
      </c>
      <c r="H378" s="95">
        <f>+ROUND(Návrh!I375,-3)/$X$2</f>
        <v>0</v>
      </c>
      <c r="I378" s="95">
        <f>+ROUND(Návrh!J375,-3)/$X$2</f>
        <v>0</v>
      </c>
      <c r="J378" s="95" t="e">
        <f>+ROUND(Návrh!#REF!,-3)/$X$2</f>
        <v>#REF!</v>
      </c>
      <c r="K378" s="95">
        <f>+ROUND(Návrh!K375,-3)/$X$2</f>
        <v>0</v>
      </c>
      <c r="L378" s="95">
        <f>+ROUND(Návrh!L375,-3)/$X$2</f>
        <v>0</v>
      </c>
      <c r="M378" s="67"/>
    </row>
    <row r="379" spans="1:13" x14ac:dyDescent="0.25">
      <c r="A379" s="38" t="s">
        <v>374</v>
      </c>
      <c r="B379" s="36"/>
      <c r="C379" s="22"/>
      <c r="D379" s="22"/>
      <c r="E379" s="385" t="s">
        <v>375</v>
      </c>
      <c r="F379" s="386"/>
      <c r="G379" s="91">
        <f>+ROUND(Návrh!H376,-3)/$X$2</f>
        <v>0</v>
      </c>
      <c r="H379" s="91">
        <f>+ROUND(Návrh!I376,-3)/$X$2</f>
        <v>0</v>
      </c>
      <c r="I379" s="91">
        <f>+ROUND(Návrh!J376,-3)/$X$2</f>
        <v>0</v>
      </c>
      <c r="J379" s="91" t="e">
        <f>+ROUND(Návrh!#REF!,-3)/$X$2</f>
        <v>#REF!</v>
      </c>
      <c r="K379" s="91">
        <f>+ROUND(Návrh!K376,-3)/$X$2</f>
        <v>0</v>
      </c>
      <c r="L379" s="91">
        <f>+ROUND(Návrh!L376,-3)/$X$2</f>
        <v>0</v>
      </c>
      <c r="M379" s="67"/>
    </row>
    <row r="380" spans="1:13" x14ac:dyDescent="0.25">
      <c r="A380" s="38" t="s">
        <v>376</v>
      </c>
      <c r="B380" s="36"/>
      <c r="C380" s="22"/>
      <c r="D380" s="22"/>
      <c r="E380" s="385" t="s">
        <v>377</v>
      </c>
      <c r="F380" s="386"/>
      <c r="G380" s="91">
        <f>+ROUND(Návrh!H377,-3)/$X$2</f>
        <v>-37492</v>
      </c>
      <c r="H380" s="91">
        <f>+ROUND(Návrh!I377,-3)/$X$2</f>
        <v>-42438</v>
      </c>
      <c r="I380" s="91">
        <f>+ROUND(Návrh!J377,-3)/$X$2</f>
        <v>-47051</v>
      </c>
      <c r="J380" s="91" t="e">
        <f>+ROUND(Návrh!#REF!,-3)/$X$2</f>
        <v>#REF!</v>
      </c>
      <c r="K380" s="91">
        <f>+ROUND(Návrh!K377,-3)/$X$2</f>
        <v>-47335</v>
      </c>
      <c r="L380" s="91">
        <f>+ROUND(Návrh!L377,-3)/$X$2</f>
        <v>-50658</v>
      </c>
      <c r="M380" s="67"/>
    </row>
    <row r="381" spans="1:13" x14ac:dyDescent="0.25">
      <c r="A381" s="26" t="s">
        <v>1278</v>
      </c>
      <c r="B381" s="26"/>
      <c r="C381" s="23"/>
      <c r="D381" s="23"/>
      <c r="E381" s="379" t="s">
        <v>378</v>
      </c>
      <c r="F381" s="380"/>
      <c r="G381" s="92">
        <f>+ROUND(Návrh!H378,-3)/$X$2</f>
        <v>27</v>
      </c>
      <c r="H381" s="92">
        <f>+ROUND(Návrh!I378,-3)/$X$2</f>
        <v>29</v>
      </c>
      <c r="I381" s="92">
        <f>+ROUND(Návrh!J378,-3)/$X$2</f>
        <v>0</v>
      </c>
      <c r="J381" s="92" t="e">
        <f>+ROUND(Návrh!#REF!,-3)/$X$2</f>
        <v>#REF!</v>
      </c>
      <c r="K381" s="92">
        <f>+ROUND(Návrh!K378,-3)/$X$2</f>
        <v>25</v>
      </c>
      <c r="L381" s="92">
        <f>+ROUND(Návrh!L378,-3)/$X$2</f>
        <v>0</v>
      </c>
      <c r="M381" s="67"/>
    </row>
    <row r="382" spans="1:13" x14ac:dyDescent="0.25">
      <c r="A382" s="42" t="s">
        <v>1279</v>
      </c>
      <c r="B382" s="14"/>
      <c r="C382" s="13"/>
      <c r="D382" s="13"/>
      <c r="E382" s="373" t="s">
        <v>379</v>
      </c>
      <c r="F382" s="374"/>
      <c r="G382" s="88">
        <f>+ROUND(Návrh!H379,-3)/$X$2</f>
        <v>27</v>
      </c>
      <c r="H382" s="88">
        <f>+ROUND(Návrh!I379,-3)/$X$2</f>
        <v>29</v>
      </c>
      <c r="I382" s="88">
        <f>+ROUND(Návrh!J379,-3)/$X$2</f>
        <v>0</v>
      </c>
      <c r="J382" s="88" t="e">
        <f>+ROUND(Návrh!#REF!,-3)/$X$2</f>
        <v>#REF!</v>
      </c>
      <c r="K382" s="88">
        <f>+ROUND(Návrh!K379,-3)/$X$2</f>
        <v>25</v>
      </c>
      <c r="L382" s="88">
        <f>+ROUND(Návrh!L379,-3)/$X$2</f>
        <v>0</v>
      </c>
      <c r="M382" s="67"/>
    </row>
    <row r="383" spans="1:13" x14ac:dyDescent="0.25">
      <c r="A383" s="26" t="s">
        <v>1280</v>
      </c>
      <c r="B383" s="26"/>
      <c r="C383" s="23"/>
      <c r="D383" s="23"/>
      <c r="E383" s="379" t="s">
        <v>380</v>
      </c>
      <c r="F383" s="380"/>
      <c r="G383" s="92">
        <f>+ROUND(Návrh!H380,-3)/$X$2</f>
        <v>-37492</v>
      </c>
      <c r="H383" s="92">
        <f>+ROUND(Návrh!I380,-3)/$X$2</f>
        <v>-42438</v>
      </c>
      <c r="I383" s="92">
        <f>+ROUND(Návrh!J380,-3)/$X$2</f>
        <v>-47051</v>
      </c>
      <c r="J383" s="92" t="e">
        <f>+ROUND(Návrh!#REF!,-3)/$X$2</f>
        <v>#REF!</v>
      </c>
      <c r="K383" s="92">
        <f>+ROUND(Návrh!K380,-3)/$X$2</f>
        <v>-47335</v>
      </c>
      <c r="L383" s="92">
        <f>+ROUND(Návrh!L380,-3)/$X$2</f>
        <v>-50658</v>
      </c>
      <c r="M383" s="67"/>
    </row>
    <row r="384" spans="1:13" x14ac:dyDescent="0.25">
      <c r="A384" s="42" t="s">
        <v>1281</v>
      </c>
      <c r="B384" s="20" t="s">
        <v>1432</v>
      </c>
      <c r="C384" s="20" t="s">
        <v>920</v>
      </c>
      <c r="D384" s="20" t="s">
        <v>1244</v>
      </c>
      <c r="E384" s="373" t="s">
        <v>381</v>
      </c>
      <c r="F384" s="374"/>
      <c r="G384" s="88">
        <f>+ROUND(Návrh!H381,-3)/$X$2</f>
        <v>-37492</v>
      </c>
      <c r="H384" s="88">
        <f>+ROUND(Návrh!I381,-3)/$X$2</f>
        <v>-42438</v>
      </c>
      <c r="I384" s="88">
        <f>+ROUND(Návrh!J381,-3)/$X$2</f>
        <v>-47051</v>
      </c>
      <c r="J384" s="88" t="e">
        <f>+ROUND(Návrh!#REF!,-3)/$X$2</f>
        <v>#REF!</v>
      </c>
      <c r="K384" s="88">
        <f>+ROUND(Návrh!K381,-3)/$X$2</f>
        <v>-47335</v>
      </c>
      <c r="L384" s="88">
        <f>+ROUND(Návrh!L381,-3)/$X$2</f>
        <v>-50658</v>
      </c>
      <c r="M384" s="67"/>
    </row>
    <row r="385" spans="1:13" x14ac:dyDescent="0.25">
      <c r="A385" s="26" t="s">
        <v>1282</v>
      </c>
      <c r="B385" s="26"/>
      <c r="C385" s="23"/>
      <c r="D385" s="23"/>
      <c r="E385" s="379" t="s">
        <v>382</v>
      </c>
      <c r="F385" s="380"/>
      <c r="G385" s="92">
        <f>+ROUND(Návrh!H382,-3)/$X$2</f>
        <v>-27</v>
      </c>
      <c r="H385" s="92">
        <f>+ROUND(Návrh!I382,-3)/$X$2</f>
        <v>-29</v>
      </c>
      <c r="I385" s="92">
        <f>+ROUND(Návrh!J382,-3)/$X$2</f>
        <v>0</v>
      </c>
      <c r="J385" s="92" t="e">
        <f>+ROUND(Návrh!#REF!,-3)/$X$2</f>
        <v>#REF!</v>
      </c>
      <c r="K385" s="92">
        <f>+ROUND(Návrh!K382,-3)/$X$2</f>
        <v>-25</v>
      </c>
      <c r="L385" s="92">
        <f>+ROUND(Návrh!L382,-3)/$X$2</f>
        <v>0</v>
      </c>
      <c r="M385" s="67"/>
    </row>
    <row r="386" spans="1:13" x14ac:dyDescent="0.25">
      <c r="A386" s="42" t="s">
        <v>1283</v>
      </c>
      <c r="B386" s="14"/>
      <c r="C386" s="13"/>
      <c r="D386" s="13"/>
      <c r="E386" s="373" t="s">
        <v>383</v>
      </c>
      <c r="F386" s="374"/>
      <c r="G386" s="88">
        <f>+ROUND(Návrh!H383,-3)/$X$2</f>
        <v>-27</v>
      </c>
      <c r="H386" s="88">
        <f>+ROUND(Návrh!I383,-3)/$X$2</f>
        <v>-29</v>
      </c>
      <c r="I386" s="88">
        <f>+ROUND(Návrh!J383,-3)/$X$2</f>
        <v>0</v>
      </c>
      <c r="J386" s="88" t="e">
        <f>+ROUND(Návrh!#REF!,-3)/$X$2</f>
        <v>#REF!</v>
      </c>
      <c r="K386" s="88">
        <f>+ROUND(Návrh!K383,-3)/$X$2</f>
        <v>-25</v>
      </c>
      <c r="L386" s="88">
        <f>+ROUND(Návrh!L383,-3)/$X$2</f>
        <v>0</v>
      </c>
      <c r="M386" s="67"/>
    </row>
    <row r="387" spans="1:13" x14ac:dyDescent="0.25">
      <c r="A387" s="38" t="s">
        <v>384</v>
      </c>
      <c r="B387" s="38"/>
      <c r="C387" s="22"/>
      <c r="D387" s="22"/>
      <c r="E387" s="385" t="s">
        <v>385</v>
      </c>
      <c r="F387" s="386"/>
      <c r="G387" s="91">
        <f>+ROUND(Návrh!H384,-3)/$X$2</f>
        <v>0</v>
      </c>
      <c r="H387" s="91">
        <f>+ROUND(Návrh!I384,-3)/$X$2</f>
        <v>0</v>
      </c>
      <c r="I387" s="91">
        <f>+ROUND(Návrh!J384,-3)/$X$2</f>
        <v>0</v>
      </c>
      <c r="J387" s="91" t="e">
        <f>+ROUND(Návrh!#REF!,-3)/$X$2</f>
        <v>#REF!</v>
      </c>
      <c r="K387" s="91">
        <f>+ROUND(Návrh!K384,-3)/$X$2</f>
        <v>-15</v>
      </c>
      <c r="L387" s="91">
        <f>+ROUND(Návrh!L384,-3)/$X$2</f>
        <v>0</v>
      </c>
      <c r="M387" s="67"/>
    </row>
    <row r="388" spans="1:13" x14ac:dyDescent="0.25">
      <c r="A388" s="26" t="s">
        <v>1284</v>
      </c>
      <c r="B388" s="26"/>
      <c r="C388" s="23"/>
      <c r="D388" s="23"/>
      <c r="E388" s="379" t="s">
        <v>386</v>
      </c>
      <c r="F388" s="380"/>
      <c r="G388" s="92">
        <f>+ROUND(Návrh!H385,-3)/$X$2</f>
        <v>0</v>
      </c>
      <c r="H388" s="92">
        <f>+ROUND(Návrh!I385,-3)/$X$2</f>
        <v>0</v>
      </c>
      <c r="I388" s="92">
        <f>+ROUND(Návrh!J385,-3)/$X$2</f>
        <v>0</v>
      </c>
      <c r="J388" s="92" t="e">
        <f>+ROUND(Návrh!#REF!,-3)/$X$2</f>
        <v>#REF!</v>
      </c>
      <c r="K388" s="92">
        <f>+ROUND(Návrh!K385,-3)/$X$2</f>
        <v>-15</v>
      </c>
      <c r="L388" s="92">
        <f>+ROUND(Návrh!L385,-3)/$X$2</f>
        <v>0</v>
      </c>
      <c r="M388" s="67"/>
    </row>
    <row r="389" spans="1:13" x14ac:dyDescent="0.25">
      <c r="A389" s="83" t="s">
        <v>1657</v>
      </c>
      <c r="B389" s="21" t="s">
        <v>1432</v>
      </c>
      <c r="C389" s="21" t="s">
        <v>920</v>
      </c>
      <c r="D389" s="21" t="s">
        <v>1244</v>
      </c>
      <c r="E389" s="387" t="s">
        <v>1658</v>
      </c>
      <c r="F389" s="388"/>
      <c r="G389" s="95">
        <f>+ROUND(Návrh!H386,-3)/$X$2</f>
        <v>0</v>
      </c>
      <c r="H389" s="95">
        <f>+ROUND(Návrh!I386,-3)/$X$2</f>
        <v>0</v>
      </c>
      <c r="I389" s="95">
        <f>+ROUND(Návrh!J386,-3)/$X$2</f>
        <v>0</v>
      </c>
      <c r="J389" s="95" t="e">
        <f>+ROUND(Návrh!#REF!,-3)/$X$2</f>
        <v>#REF!</v>
      </c>
      <c r="K389" s="95">
        <f>+ROUND(Návrh!K386,-3)/$X$2</f>
        <v>0</v>
      </c>
      <c r="L389" s="95">
        <f>+ROUND(Návrh!L386,-3)/$X$2</f>
        <v>0</v>
      </c>
      <c r="M389" s="67"/>
    </row>
    <row r="390" spans="1:13" x14ac:dyDescent="0.25">
      <c r="A390" s="42" t="s">
        <v>1285</v>
      </c>
      <c r="B390" s="20" t="s">
        <v>1432</v>
      </c>
      <c r="C390" s="20" t="s">
        <v>920</v>
      </c>
      <c r="D390" s="20" t="s">
        <v>1244</v>
      </c>
      <c r="E390" s="373" t="s">
        <v>387</v>
      </c>
      <c r="F390" s="374"/>
      <c r="G390" s="88">
        <f>+ROUND(Návrh!H387,-3)/$X$2</f>
        <v>0</v>
      </c>
      <c r="H390" s="88">
        <f>+ROUND(Návrh!I387,-3)/$X$2</f>
        <v>0</v>
      </c>
      <c r="I390" s="88">
        <f>+ROUND(Návrh!J387,-3)/$X$2</f>
        <v>0</v>
      </c>
      <c r="J390" s="88" t="e">
        <f>+ROUND(Návrh!#REF!,-3)/$X$2</f>
        <v>#REF!</v>
      </c>
      <c r="K390" s="88">
        <f>+ROUND(Návrh!K387,-3)/$X$2</f>
        <v>-15</v>
      </c>
      <c r="L390" s="88">
        <f>+ROUND(Návrh!L387,-3)/$X$2</f>
        <v>0</v>
      </c>
      <c r="M390" s="67"/>
    </row>
    <row r="391" spans="1:13" x14ac:dyDescent="0.25">
      <c r="A391" s="41" t="s">
        <v>388</v>
      </c>
      <c r="B391" s="41"/>
      <c r="C391" s="40"/>
      <c r="D391" s="40"/>
      <c r="E391" s="383" t="s">
        <v>389</v>
      </c>
      <c r="F391" s="384"/>
      <c r="G391" s="89">
        <f>+ROUND(Návrh!H388,-3)/$X$2</f>
        <v>-201</v>
      </c>
      <c r="H391" s="89">
        <f>+ROUND(Návrh!I388,-3)/$X$2</f>
        <v>-215</v>
      </c>
      <c r="I391" s="89">
        <f>+ROUND(Návrh!J388,-3)/$X$2</f>
        <v>-231</v>
      </c>
      <c r="J391" s="89" t="e">
        <f>+ROUND(Návrh!#REF!,-3)/$X$2</f>
        <v>#REF!</v>
      </c>
      <c r="K391" s="89">
        <f>+ROUND(Návrh!K388,-3)/$X$2</f>
        <v>-224</v>
      </c>
      <c r="L391" s="89">
        <f>+ROUND(Návrh!L388,-3)/$X$2</f>
        <v>-221</v>
      </c>
      <c r="M391" s="67"/>
    </row>
    <row r="392" spans="1:13" x14ac:dyDescent="0.25">
      <c r="A392" s="38" t="s">
        <v>390</v>
      </c>
      <c r="B392" s="36"/>
      <c r="C392" s="22"/>
      <c r="D392" s="22"/>
      <c r="E392" s="385" t="s">
        <v>391</v>
      </c>
      <c r="F392" s="386"/>
      <c r="G392" s="91">
        <f>+ROUND(Návrh!H389,-3)/$X$2</f>
        <v>-95</v>
      </c>
      <c r="H392" s="91">
        <f>+ROUND(Návrh!I389,-3)/$X$2</f>
        <v>-99</v>
      </c>
      <c r="I392" s="91">
        <f>+ROUND(Návrh!J389,-3)/$X$2</f>
        <v>-96</v>
      </c>
      <c r="J392" s="91" t="e">
        <f>+ROUND(Návrh!#REF!,-3)/$X$2</f>
        <v>#REF!</v>
      </c>
      <c r="K392" s="91">
        <f>+ROUND(Návrh!K389,-3)/$X$2</f>
        <v>-92</v>
      </c>
      <c r="L392" s="91">
        <f>+ROUND(Návrh!L389,-3)/$X$2</f>
        <v>-110</v>
      </c>
      <c r="M392" s="67"/>
    </row>
    <row r="393" spans="1:13" x14ac:dyDescent="0.25">
      <c r="A393" s="26" t="s">
        <v>1286</v>
      </c>
      <c r="B393" s="26"/>
      <c r="C393" s="23"/>
      <c r="D393" s="23"/>
      <c r="E393" s="379" t="s">
        <v>392</v>
      </c>
      <c r="F393" s="380"/>
      <c r="G393" s="92">
        <f>+ROUND(Návrh!H390,-3)/$X$2</f>
        <v>-95</v>
      </c>
      <c r="H393" s="92">
        <f>+ROUND(Návrh!I390,-3)/$X$2</f>
        <v>-99</v>
      </c>
      <c r="I393" s="92">
        <f>+ROUND(Návrh!J390,-3)/$X$2</f>
        <v>-96</v>
      </c>
      <c r="J393" s="92" t="e">
        <f>+ROUND(Návrh!#REF!,-3)/$X$2</f>
        <v>#REF!</v>
      </c>
      <c r="K393" s="92">
        <f>+ROUND(Návrh!K390,-3)/$X$2</f>
        <v>-92</v>
      </c>
      <c r="L393" s="92">
        <f>+ROUND(Návrh!L390,-3)/$X$2</f>
        <v>-110</v>
      </c>
      <c r="M393" s="67"/>
    </row>
    <row r="394" spans="1:13" x14ac:dyDescent="0.25">
      <c r="A394" s="42" t="s">
        <v>1287</v>
      </c>
      <c r="B394" s="27" t="s">
        <v>916</v>
      </c>
      <c r="C394" s="28" t="s">
        <v>923</v>
      </c>
      <c r="D394" s="28" t="s">
        <v>1643</v>
      </c>
      <c r="E394" s="373" t="s">
        <v>393</v>
      </c>
      <c r="F394" s="374"/>
      <c r="G394" s="88">
        <f>+ROUND(Návrh!H391,-3)/$X$2</f>
        <v>-95</v>
      </c>
      <c r="H394" s="88">
        <f>+ROUND(Návrh!I391,-3)/$X$2</f>
        <v>-99</v>
      </c>
      <c r="I394" s="88">
        <f>+ROUND(Návrh!J391,-3)/$X$2</f>
        <v>-96</v>
      </c>
      <c r="J394" s="88" t="e">
        <f>+ROUND(Návrh!#REF!,-3)/$X$2</f>
        <v>#REF!</v>
      </c>
      <c r="K394" s="88">
        <f>+ROUND(Návrh!K391,-3)/$X$2</f>
        <v>-92</v>
      </c>
      <c r="L394" s="88">
        <f>+ROUND(Návrh!L391,-3)/$X$2</f>
        <v>-110</v>
      </c>
      <c r="M394" s="67"/>
    </row>
    <row r="395" spans="1:13" x14ac:dyDescent="0.25">
      <c r="A395" s="38" t="s">
        <v>394</v>
      </c>
      <c r="B395" s="38"/>
      <c r="C395" s="22"/>
      <c r="D395" s="22"/>
      <c r="E395" s="385" t="s">
        <v>395</v>
      </c>
      <c r="F395" s="386"/>
      <c r="G395" s="91">
        <f>+ROUND(Návrh!H392,-3)/$X$2</f>
        <v>-88</v>
      </c>
      <c r="H395" s="91">
        <f>+ROUND(Návrh!I392,-3)/$X$2</f>
        <v>-85</v>
      </c>
      <c r="I395" s="91">
        <f>+ROUND(Návrh!J392,-3)/$X$2</f>
        <v>-110</v>
      </c>
      <c r="J395" s="91" t="e">
        <f>+ROUND(Návrh!#REF!,-3)/$X$2</f>
        <v>#REF!</v>
      </c>
      <c r="K395" s="91">
        <f>+ROUND(Návrh!K392,-3)/$X$2</f>
        <v>-86</v>
      </c>
      <c r="L395" s="91">
        <f>+ROUND(Návrh!L392,-3)/$X$2</f>
        <v>-86</v>
      </c>
      <c r="M395" s="67"/>
    </row>
    <row r="396" spans="1:13" x14ac:dyDescent="0.25">
      <c r="A396" s="26" t="s">
        <v>1288</v>
      </c>
      <c r="B396" s="24"/>
      <c r="C396" s="23"/>
      <c r="D396" s="23"/>
      <c r="E396" s="379" t="s">
        <v>396</v>
      </c>
      <c r="F396" s="380"/>
      <c r="G396" s="92">
        <f>+ROUND(Návrh!H393,-3)/$X$2</f>
        <v>-88</v>
      </c>
      <c r="H396" s="92">
        <f>+ROUND(Návrh!I393,-3)/$X$2</f>
        <v>-85</v>
      </c>
      <c r="I396" s="92">
        <f>+ROUND(Návrh!J393,-3)/$X$2</f>
        <v>-110</v>
      </c>
      <c r="J396" s="92" t="e">
        <f>+ROUND(Návrh!#REF!,-3)/$X$2</f>
        <v>#REF!</v>
      </c>
      <c r="K396" s="92">
        <f>+ROUND(Návrh!K393,-3)/$X$2</f>
        <v>-86</v>
      </c>
      <c r="L396" s="92">
        <f>+ROUND(Návrh!L393,-3)/$X$2</f>
        <v>-86</v>
      </c>
      <c r="M396" s="67"/>
    </row>
    <row r="397" spans="1:13" x14ac:dyDescent="0.25">
      <c r="A397" s="42" t="s">
        <v>1289</v>
      </c>
      <c r="B397" s="27" t="s">
        <v>916</v>
      </c>
      <c r="C397" s="28" t="s">
        <v>923</v>
      </c>
      <c r="D397" s="28" t="s">
        <v>1643</v>
      </c>
      <c r="E397" s="373" t="s">
        <v>397</v>
      </c>
      <c r="F397" s="374"/>
      <c r="G397" s="88">
        <f>+ROUND(Návrh!H394,-3)/$X$2</f>
        <v>-88</v>
      </c>
      <c r="H397" s="88">
        <f>+ROUND(Návrh!I394,-3)/$X$2</f>
        <v>-85</v>
      </c>
      <c r="I397" s="88">
        <f>+ROUND(Návrh!J394,-3)/$X$2</f>
        <v>-110</v>
      </c>
      <c r="J397" s="88" t="e">
        <f>+ROUND(Návrh!#REF!,-3)/$X$2</f>
        <v>#REF!</v>
      </c>
      <c r="K397" s="88">
        <f>+ROUND(Návrh!K394,-3)/$X$2</f>
        <v>-86</v>
      </c>
      <c r="L397" s="88">
        <f>+ROUND(Návrh!L394,-3)/$X$2</f>
        <v>-86</v>
      </c>
      <c r="M397" s="67"/>
    </row>
    <row r="398" spans="1:13" x14ac:dyDescent="0.25">
      <c r="A398" s="38" t="s">
        <v>398</v>
      </c>
      <c r="B398" s="38"/>
      <c r="C398" s="22"/>
      <c r="D398" s="22"/>
      <c r="E398" s="385" t="s">
        <v>399</v>
      </c>
      <c r="F398" s="386"/>
      <c r="G398" s="91">
        <f>+ROUND(Návrh!H395,-3)/$X$2</f>
        <v>-19</v>
      </c>
      <c r="H398" s="91">
        <f>+ROUND(Návrh!I395,-3)/$X$2</f>
        <v>-32</v>
      </c>
      <c r="I398" s="91">
        <f>+ROUND(Návrh!J395,-3)/$X$2</f>
        <v>-25</v>
      </c>
      <c r="J398" s="91" t="e">
        <f>+ROUND(Návrh!#REF!,-3)/$X$2</f>
        <v>#REF!</v>
      </c>
      <c r="K398" s="91">
        <f>+ROUND(Návrh!K395,-3)/$X$2</f>
        <v>-47</v>
      </c>
      <c r="L398" s="91">
        <f>+ROUND(Návrh!L395,-3)/$X$2</f>
        <v>-25</v>
      </c>
      <c r="M398" s="67"/>
    </row>
    <row r="399" spans="1:13" x14ac:dyDescent="0.25">
      <c r="A399" s="26" t="s">
        <v>1290</v>
      </c>
      <c r="B399" s="26"/>
      <c r="C399" s="23"/>
      <c r="D399" s="23"/>
      <c r="E399" s="379" t="s">
        <v>400</v>
      </c>
      <c r="F399" s="380"/>
      <c r="G399" s="92">
        <f>+ROUND(Návrh!H396,-3)/$X$2</f>
        <v>-19</v>
      </c>
      <c r="H399" s="92">
        <f>+ROUND(Návrh!I396,-3)/$X$2</f>
        <v>-32</v>
      </c>
      <c r="I399" s="92">
        <f>+ROUND(Návrh!J396,-3)/$X$2</f>
        <v>-25</v>
      </c>
      <c r="J399" s="92" t="e">
        <f>+ROUND(Návrh!#REF!,-3)/$X$2</f>
        <v>#REF!</v>
      </c>
      <c r="K399" s="92">
        <f>+ROUND(Návrh!K396,-3)/$X$2</f>
        <v>-47</v>
      </c>
      <c r="L399" s="92">
        <f>+ROUND(Návrh!L396,-3)/$X$2</f>
        <v>-25</v>
      </c>
      <c r="M399" s="67"/>
    </row>
    <row r="400" spans="1:13" x14ac:dyDescent="0.25">
      <c r="A400" s="42" t="s">
        <v>1291</v>
      </c>
      <c r="B400" s="44"/>
      <c r="C400" s="34"/>
      <c r="D400" s="34"/>
      <c r="E400" s="373" t="s">
        <v>401</v>
      </c>
      <c r="F400" s="374"/>
      <c r="G400" s="88">
        <f>+ROUND(Návrh!H397,-3)/$X$2</f>
        <v>0</v>
      </c>
      <c r="H400" s="88">
        <f>+ROUND(Návrh!I397,-3)/$X$2</f>
        <v>0</v>
      </c>
      <c r="I400" s="88">
        <f>+ROUND(Návrh!J397,-3)/$X$2</f>
        <v>0</v>
      </c>
      <c r="J400" s="88" t="e">
        <f>+ROUND(Návrh!#REF!,-3)/$X$2</f>
        <v>#REF!</v>
      </c>
      <c r="K400" s="88">
        <f>+ROUND(Návrh!K397,-3)/$X$2</f>
        <v>0</v>
      </c>
      <c r="L400" s="88">
        <f>+ROUND(Návrh!L397,-3)/$X$2</f>
        <v>0</v>
      </c>
      <c r="M400" s="67"/>
    </row>
    <row r="401" spans="1:13" x14ac:dyDescent="0.25">
      <c r="A401" s="42" t="s">
        <v>1292</v>
      </c>
      <c r="B401" s="27" t="s">
        <v>916</v>
      </c>
      <c r="C401" s="28" t="s">
        <v>923</v>
      </c>
      <c r="D401" s="28" t="s">
        <v>917</v>
      </c>
      <c r="E401" s="373" t="s">
        <v>402</v>
      </c>
      <c r="F401" s="374"/>
      <c r="G401" s="88">
        <f>+ROUND(Návrh!H398,-3)/$X$2</f>
        <v>49</v>
      </c>
      <c r="H401" s="88">
        <f>+ROUND(Návrh!I398,-3)/$X$2</f>
        <v>57</v>
      </c>
      <c r="I401" s="88">
        <f>+ROUND(Návrh!J398,-3)/$X$2</f>
        <v>0</v>
      </c>
      <c r="J401" s="88" t="e">
        <f>+ROUND(Návrh!#REF!,-3)/$X$2</f>
        <v>#REF!</v>
      </c>
      <c r="K401" s="88">
        <f>+ROUND(Návrh!K398,-3)/$X$2</f>
        <v>50</v>
      </c>
      <c r="L401" s="88">
        <f>+ROUND(Návrh!L398,-3)/$X$2</f>
        <v>0</v>
      </c>
      <c r="M401" s="67"/>
    </row>
    <row r="402" spans="1:13" x14ac:dyDescent="0.25">
      <c r="A402" s="42" t="s">
        <v>1293</v>
      </c>
      <c r="B402" s="27" t="s">
        <v>916</v>
      </c>
      <c r="C402" s="28" t="s">
        <v>920</v>
      </c>
      <c r="D402" s="28" t="s">
        <v>917</v>
      </c>
      <c r="E402" s="373" t="s">
        <v>403</v>
      </c>
      <c r="F402" s="374"/>
      <c r="G402" s="88">
        <f>+ROUND(Návrh!H399,-3)/$X$2</f>
        <v>-48</v>
      </c>
      <c r="H402" s="88">
        <f>+ROUND(Návrh!I399,-3)/$X$2</f>
        <v>-72</v>
      </c>
      <c r="I402" s="88">
        <f>+ROUND(Návrh!J399,-3)/$X$2</f>
        <v>0</v>
      </c>
      <c r="J402" s="88" t="e">
        <f>+ROUND(Návrh!#REF!,-3)/$X$2</f>
        <v>#REF!</v>
      </c>
      <c r="K402" s="88">
        <f>+ROUND(Návrh!K399,-3)/$X$2</f>
        <v>-79</v>
      </c>
      <c r="L402" s="88">
        <f>+ROUND(Návrh!L399,-3)/$X$2</f>
        <v>0</v>
      </c>
      <c r="M402" s="67"/>
    </row>
    <row r="403" spans="1:13" x14ac:dyDescent="0.25">
      <c r="A403" s="42" t="s">
        <v>1294</v>
      </c>
      <c r="B403" s="20" t="s">
        <v>916</v>
      </c>
      <c r="C403" s="20" t="s">
        <v>919</v>
      </c>
      <c r="D403" s="20" t="s">
        <v>918</v>
      </c>
      <c r="E403" s="373" t="s">
        <v>404</v>
      </c>
      <c r="F403" s="374"/>
      <c r="G403" s="88">
        <f>+ROUND(Návrh!H400,-3)/$X$2</f>
        <v>-20</v>
      </c>
      <c r="H403" s="88">
        <f>+ROUND(Návrh!I400,-3)/$X$2</f>
        <v>-17</v>
      </c>
      <c r="I403" s="88">
        <f>+ROUND(Návrh!J400,-3)/$X$2</f>
        <v>-25</v>
      </c>
      <c r="J403" s="88" t="e">
        <f>+ROUND(Návrh!#REF!,-3)/$X$2</f>
        <v>#REF!</v>
      </c>
      <c r="K403" s="88">
        <f>+ROUND(Návrh!K400,-3)/$X$2</f>
        <v>-18</v>
      </c>
      <c r="L403" s="88">
        <f>+ROUND(Návrh!L400,-3)/$X$2</f>
        <v>-25</v>
      </c>
      <c r="M403" s="67"/>
    </row>
    <row r="404" spans="1:13" x14ac:dyDescent="0.25">
      <c r="A404" s="42" t="s">
        <v>1295</v>
      </c>
      <c r="B404" s="27" t="s">
        <v>916</v>
      </c>
      <c r="C404" s="28" t="s">
        <v>919</v>
      </c>
      <c r="D404" s="28" t="s">
        <v>917</v>
      </c>
      <c r="E404" s="373" t="s">
        <v>405</v>
      </c>
      <c r="F404" s="374"/>
      <c r="G404" s="88">
        <f>+ROUND(Návrh!H401,-3)/$X$2</f>
        <v>0</v>
      </c>
      <c r="H404" s="88">
        <f>+ROUND(Návrh!I401,-3)/$X$2</f>
        <v>0</v>
      </c>
      <c r="I404" s="88">
        <f>+ROUND(Návrh!J401,-3)/$X$2</f>
        <v>0</v>
      </c>
      <c r="J404" s="88" t="e">
        <f>+ROUND(Návrh!#REF!,-3)/$X$2</f>
        <v>#REF!</v>
      </c>
      <c r="K404" s="88">
        <f>+ROUND(Návrh!K401,-3)/$X$2</f>
        <v>0</v>
      </c>
      <c r="L404" s="88">
        <f>+ROUND(Návrh!L401,-3)/$X$2</f>
        <v>0</v>
      </c>
      <c r="M404" s="67"/>
    </row>
    <row r="405" spans="1:13" x14ac:dyDescent="0.25">
      <c r="A405" s="41" t="s">
        <v>406</v>
      </c>
      <c r="B405" s="41"/>
      <c r="C405" s="40"/>
      <c r="D405" s="40"/>
      <c r="E405" s="383" t="s">
        <v>407</v>
      </c>
      <c r="F405" s="384"/>
      <c r="G405" s="89">
        <f>+ROUND(Návrh!H402,-3)/$X$2</f>
        <v>-63418</v>
      </c>
      <c r="H405" s="89">
        <f>+ROUND(Návrh!I402,-3)/$X$2</f>
        <v>-66223</v>
      </c>
      <c r="I405" s="89">
        <f>+ROUND(Návrh!J402,-3)/$X$2</f>
        <v>-73608</v>
      </c>
      <c r="J405" s="89" t="e">
        <f>+ROUND(Návrh!#REF!,-3)/$X$2</f>
        <v>#REF!</v>
      </c>
      <c r="K405" s="89">
        <f>+ROUND(Návrh!K402,-3)/$X$2</f>
        <v>-67669</v>
      </c>
      <c r="L405" s="89">
        <f>+ROUND(Návrh!L402,-3)/$X$2</f>
        <v>-66634</v>
      </c>
      <c r="M405" s="67"/>
    </row>
    <row r="406" spans="1:13" x14ac:dyDescent="0.25">
      <c r="A406" s="38" t="s">
        <v>408</v>
      </c>
      <c r="B406" s="38"/>
      <c r="C406" s="22"/>
      <c r="D406" s="22"/>
      <c r="E406" s="385" t="s">
        <v>409</v>
      </c>
      <c r="F406" s="386"/>
      <c r="G406" s="91">
        <f>+ROUND(Návrh!H403,-3)/$X$2</f>
        <v>-1</v>
      </c>
      <c r="H406" s="91">
        <f>+ROUND(Návrh!I403,-3)/$X$2</f>
        <v>-100</v>
      </c>
      <c r="I406" s="91">
        <f>+ROUND(Návrh!J403,-3)/$X$2</f>
        <v>0</v>
      </c>
      <c r="J406" s="91" t="e">
        <f>+ROUND(Návrh!#REF!,-3)/$X$2</f>
        <v>#REF!</v>
      </c>
      <c r="K406" s="91">
        <f>+ROUND(Návrh!K403,-3)/$X$2</f>
        <v>0</v>
      </c>
      <c r="L406" s="91">
        <f>+ROUND(Návrh!L403,-3)/$X$2</f>
        <v>0</v>
      </c>
      <c r="M406" s="67"/>
    </row>
    <row r="407" spans="1:13" x14ac:dyDescent="0.25">
      <c r="A407" s="26" t="s">
        <v>1296</v>
      </c>
      <c r="B407" s="26"/>
      <c r="C407" s="23"/>
      <c r="D407" s="23"/>
      <c r="E407" s="379" t="s">
        <v>410</v>
      </c>
      <c r="F407" s="380"/>
      <c r="G407" s="92">
        <f>+ROUND(Návrh!H404,-3)/$X$2</f>
        <v>-1</v>
      </c>
      <c r="H407" s="92">
        <f>+ROUND(Návrh!I404,-3)/$X$2</f>
        <v>0</v>
      </c>
      <c r="I407" s="92">
        <f>+ROUND(Návrh!J404,-3)/$X$2</f>
        <v>0</v>
      </c>
      <c r="J407" s="92" t="e">
        <f>+ROUND(Návrh!#REF!,-3)/$X$2</f>
        <v>#REF!</v>
      </c>
      <c r="K407" s="92">
        <f>+ROUND(Návrh!K404,-3)/$X$2</f>
        <v>0</v>
      </c>
      <c r="L407" s="92">
        <f>+ROUND(Návrh!L404,-3)/$X$2</f>
        <v>0</v>
      </c>
      <c r="M407" s="67"/>
    </row>
    <row r="408" spans="1:13" x14ac:dyDescent="0.25">
      <c r="A408" s="42" t="s">
        <v>1297</v>
      </c>
      <c r="B408" s="14"/>
      <c r="C408" s="13"/>
      <c r="D408" s="13"/>
      <c r="E408" s="373" t="s">
        <v>411</v>
      </c>
      <c r="F408" s="374"/>
      <c r="G408" s="88">
        <f>+ROUND(Návrh!H405,-3)/$X$2</f>
        <v>-1</v>
      </c>
      <c r="H408" s="88">
        <f>+ROUND(Návrh!I405,-3)/$X$2</f>
        <v>0</v>
      </c>
      <c r="I408" s="88">
        <f>+ROUND(Návrh!J405,-3)/$X$2</f>
        <v>0</v>
      </c>
      <c r="J408" s="88" t="e">
        <f>+ROUND(Návrh!#REF!,-3)/$X$2</f>
        <v>#REF!</v>
      </c>
      <c r="K408" s="88">
        <f>+ROUND(Návrh!K405,-3)/$X$2</f>
        <v>0</v>
      </c>
      <c r="L408" s="88">
        <f>+ROUND(Návrh!L405,-3)/$X$2</f>
        <v>0</v>
      </c>
      <c r="M408" s="67"/>
    </row>
    <row r="409" spans="1:13" x14ac:dyDescent="0.25">
      <c r="A409" s="26" t="s">
        <v>1298</v>
      </c>
      <c r="B409" s="26"/>
      <c r="C409" s="23"/>
      <c r="D409" s="23"/>
      <c r="E409" s="379" t="s">
        <v>412</v>
      </c>
      <c r="F409" s="380"/>
      <c r="G409" s="92">
        <f>+ROUND(Návrh!H406,-3)/$X$2</f>
        <v>0</v>
      </c>
      <c r="H409" s="92">
        <f>+ROUND(Návrh!I406,-3)/$X$2</f>
        <v>-100</v>
      </c>
      <c r="I409" s="92">
        <f>+ROUND(Návrh!J406,-3)/$X$2</f>
        <v>0</v>
      </c>
      <c r="J409" s="92" t="e">
        <f>+ROUND(Návrh!#REF!,-3)/$X$2</f>
        <v>#REF!</v>
      </c>
      <c r="K409" s="92">
        <f>+ROUND(Návrh!K406,-3)/$X$2</f>
        <v>0</v>
      </c>
      <c r="L409" s="92">
        <f>+ROUND(Návrh!L406,-3)/$X$2</f>
        <v>0</v>
      </c>
      <c r="M409" s="67"/>
    </row>
    <row r="410" spans="1:13" x14ac:dyDescent="0.25">
      <c r="A410" s="42" t="s">
        <v>1299</v>
      </c>
      <c r="B410" s="14"/>
      <c r="C410" s="13"/>
      <c r="D410" s="13"/>
      <c r="E410" s="373" t="s">
        <v>413</v>
      </c>
      <c r="F410" s="374"/>
      <c r="G410" s="88">
        <f>+ROUND(Návrh!H407,-3)/$X$2</f>
        <v>0</v>
      </c>
      <c r="H410" s="88">
        <f>+ROUND(Návrh!I407,-3)/$X$2</f>
        <v>-100</v>
      </c>
      <c r="I410" s="88">
        <f>+ROUND(Návrh!J407,-3)/$X$2</f>
        <v>0</v>
      </c>
      <c r="J410" s="88" t="e">
        <f>+ROUND(Návrh!#REF!,-3)/$X$2</f>
        <v>#REF!</v>
      </c>
      <c r="K410" s="88">
        <f>+ROUND(Návrh!K407,-3)/$X$2</f>
        <v>0</v>
      </c>
      <c r="L410" s="88">
        <f>+ROUND(Návrh!L407,-3)/$X$2</f>
        <v>0</v>
      </c>
      <c r="M410" s="67"/>
    </row>
    <row r="411" spans="1:13" x14ac:dyDescent="0.25">
      <c r="A411" s="38" t="s">
        <v>414</v>
      </c>
      <c r="B411" s="36"/>
      <c r="C411" s="22"/>
      <c r="D411" s="22"/>
      <c r="E411" s="385" t="s">
        <v>415</v>
      </c>
      <c r="F411" s="386"/>
      <c r="G411" s="91">
        <f>+ROUND(Návrh!H408,-3)/$X$2</f>
        <v>-2652</v>
      </c>
      <c r="H411" s="91">
        <f>+ROUND(Návrh!I408,-3)/$X$2</f>
        <v>-411</v>
      </c>
      <c r="I411" s="91">
        <f>+ROUND(Návrh!J408,-3)/$X$2</f>
        <v>-7700</v>
      </c>
      <c r="J411" s="91" t="e">
        <f>+ROUND(Návrh!#REF!,-3)/$X$2</f>
        <v>#REF!</v>
      </c>
      <c r="K411" s="91">
        <f>+ROUND(Návrh!K408,-3)/$X$2</f>
        <v>-105</v>
      </c>
      <c r="L411" s="91">
        <f>+ROUND(Návrh!L408,-3)/$X$2</f>
        <v>-1000</v>
      </c>
      <c r="M411" s="67"/>
    </row>
    <row r="412" spans="1:13" x14ac:dyDescent="0.25">
      <c r="A412" s="26" t="s">
        <v>1300</v>
      </c>
      <c r="B412" s="26"/>
      <c r="C412" s="23"/>
      <c r="D412" s="23"/>
      <c r="E412" s="379" t="s">
        <v>416</v>
      </c>
      <c r="F412" s="380"/>
      <c r="G412" s="92">
        <f>+ROUND(Návrh!H409,-3)/$X$2</f>
        <v>1000</v>
      </c>
      <c r="H412" s="92">
        <f>+ROUND(Návrh!I409,-3)/$X$2</f>
        <v>0</v>
      </c>
      <c r="I412" s="92">
        <f>+ROUND(Návrh!J409,-3)/$X$2</f>
        <v>-7700</v>
      </c>
      <c r="J412" s="92" t="e">
        <f>+ROUND(Návrh!#REF!,-3)/$X$2</f>
        <v>#REF!</v>
      </c>
      <c r="K412" s="92">
        <f>+ROUND(Návrh!K409,-3)/$X$2</f>
        <v>0</v>
      </c>
      <c r="L412" s="92">
        <f>+ROUND(Návrh!L409,-3)/$X$2</f>
        <v>-1000</v>
      </c>
      <c r="M412" s="67"/>
    </row>
    <row r="413" spans="1:13" x14ac:dyDescent="0.25">
      <c r="A413" s="42" t="s">
        <v>1301</v>
      </c>
      <c r="B413" s="27" t="s">
        <v>916</v>
      </c>
      <c r="C413" s="16" t="s">
        <v>923</v>
      </c>
      <c r="D413" s="16" t="s">
        <v>917</v>
      </c>
      <c r="E413" s="373" t="s">
        <v>1640</v>
      </c>
      <c r="F413" s="374"/>
      <c r="G413" s="88">
        <f>+ROUND(Návrh!H410,-3)/$X$2</f>
        <v>1000</v>
      </c>
      <c r="H413" s="88">
        <f>+ROUND(Návrh!I410,-3)/$X$2</f>
        <v>0</v>
      </c>
      <c r="I413" s="88">
        <f>+ROUND(Návrh!J410,-3)/$X$2</f>
        <v>-7700</v>
      </c>
      <c r="J413" s="88" t="e">
        <f>+ROUND(Návrh!#REF!,-3)/$X$2</f>
        <v>#REF!</v>
      </c>
      <c r="K413" s="88">
        <f>+ROUND(Návrh!K410,-3)/$X$2</f>
        <v>0</v>
      </c>
      <c r="L413" s="88">
        <f>+ROUND(Návrh!L410,-3)/$X$2</f>
        <v>-1000</v>
      </c>
      <c r="M413" s="67"/>
    </row>
    <row r="414" spans="1:13" x14ac:dyDescent="0.25">
      <c r="A414" s="26" t="s">
        <v>1302</v>
      </c>
      <c r="B414" s="26"/>
      <c r="C414" s="23"/>
      <c r="D414" s="23"/>
      <c r="E414" s="379" t="s">
        <v>417</v>
      </c>
      <c r="F414" s="380"/>
      <c r="G414" s="92">
        <f>+ROUND(Návrh!H411,-3)/$X$2</f>
        <v>-3652</v>
      </c>
      <c r="H414" s="92">
        <f>+ROUND(Návrh!I411,-3)/$X$2</f>
        <v>-411</v>
      </c>
      <c r="I414" s="92">
        <f>+ROUND(Návrh!J411,-3)/$X$2</f>
        <v>0</v>
      </c>
      <c r="J414" s="92" t="e">
        <f>+ROUND(Návrh!#REF!,-3)/$X$2</f>
        <v>#REF!</v>
      </c>
      <c r="K414" s="92">
        <f>+ROUND(Návrh!K411,-3)/$X$2</f>
        <v>-105</v>
      </c>
      <c r="L414" s="92">
        <f>+ROUND(Návrh!L411,-3)/$X$2</f>
        <v>0</v>
      </c>
      <c r="M414" s="67"/>
    </row>
    <row r="415" spans="1:13" x14ac:dyDescent="0.25">
      <c r="A415" s="42" t="s">
        <v>1303</v>
      </c>
      <c r="B415" s="14"/>
      <c r="C415" s="13"/>
      <c r="D415" s="13"/>
      <c r="E415" s="373" t="s">
        <v>418</v>
      </c>
      <c r="F415" s="374"/>
      <c r="G415" s="88">
        <f>+ROUND(Návrh!H412,-3)/$X$2</f>
        <v>-18</v>
      </c>
      <c r="H415" s="88">
        <f>+ROUND(Návrh!I412,-3)/$X$2</f>
        <v>-9</v>
      </c>
      <c r="I415" s="88">
        <f>+ROUND(Návrh!J412,-3)/$X$2</f>
        <v>0</v>
      </c>
      <c r="J415" s="88" t="e">
        <f>+ROUND(Návrh!#REF!,-3)/$X$2</f>
        <v>#REF!</v>
      </c>
      <c r="K415" s="88">
        <f>+ROUND(Návrh!K412,-3)/$X$2</f>
        <v>-28</v>
      </c>
      <c r="L415" s="88">
        <f>+ROUND(Návrh!L412,-3)/$X$2</f>
        <v>0</v>
      </c>
      <c r="M415" s="67"/>
    </row>
    <row r="416" spans="1:13" x14ac:dyDescent="0.25">
      <c r="A416" s="42" t="s">
        <v>1304</v>
      </c>
      <c r="B416" s="14"/>
      <c r="C416" s="13"/>
      <c r="D416" s="13"/>
      <c r="E416" s="373" t="s">
        <v>419</v>
      </c>
      <c r="F416" s="374"/>
      <c r="G416" s="88">
        <f>+ROUND(Návrh!H413,-3)/$X$2</f>
        <v>0</v>
      </c>
      <c r="H416" s="88">
        <f>+ROUND(Návrh!I413,-3)/$X$2</f>
        <v>-300</v>
      </c>
      <c r="I416" s="88">
        <f>+ROUND(Návrh!J413,-3)/$X$2</f>
        <v>0</v>
      </c>
      <c r="J416" s="88" t="e">
        <f>+ROUND(Návrh!#REF!,-3)/$X$2</f>
        <v>#REF!</v>
      </c>
      <c r="K416" s="88">
        <f>+ROUND(Návrh!K413,-3)/$X$2</f>
        <v>-50</v>
      </c>
      <c r="L416" s="88">
        <f>+ROUND(Návrh!L413,-3)/$X$2</f>
        <v>0</v>
      </c>
      <c r="M416" s="67"/>
    </row>
    <row r="417" spans="1:13" x14ac:dyDescent="0.25">
      <c r="A417" s="42" t="s">
        <v>1305</v>
      </c>
      <c r="B417" s="14"/>
      <c r="C417" s="13"/>
      <c r="D417" s="13"/>
      <c r="E417" s="373" t="s">
        <v>420</v>
      </c>
      <c r="F417" s="374"/>
      <c r="G417" s="88">
        <f>+ROUND(Návrh!H414,-3)/$X$2</f>
        <v>-17</v>
      </c>
      <c r="H417" s="88">
        <f>+ROUND(Návrh!I414,-3)/$X$2</f>
        <v>-5</v>
      </c>
      <c r="I417" s="88">
        <f>+ROUND(Návrh!J414,-3)/$X$2</f>
        <v>0</v>
      </c>
      <c r="J417" s="88" t="e">
        <f>+ROUND(Návrh!#REF!,-3)/$X$2</f>
        <v>#REF!</v>
      </c>
      <c r="K417" s="88">
        <f>+ROUND(Návrh!K414,-3)/$X$2</f>
        <v>-156</v>
      </c>
      <c r="L417" s="88">
        <f>+ROUND(Návrh!L414,-3)/$X$2</f>
        <v>0</v>
      </c>
      <c r="M417" s="67"/>
    </row>
    <row r="418" spans="1:13" x14ac:dyDescent="0.25">
      <c r="A418" s="42" t="s">
        <v>1306</v>
      </c>
      <c r="B418" s="14"/>
      <c r="C418" s="13"/>
      <c r="D418" s="13"/>
      <c r="E418" s="373" t="s">
        <v>421</v>
      </c>
      <c r="F418" s="374"/>
      <c r="G418" s="88">
        <f>+ROUND(Návrh!H415,-3)/$X$2</f>
        <v>0</v>
      </c>
      <c r="H418" s="88">
        <f>+ROUND(Návrh!I415,-3)/$X$2</f>
        <v>-96</v>
      </c>
      <c r="I418" s="88">
        <f>+ROUND(Návrh!J415,-3)/$X$2</f>
        <v>0</v>
      </c>
      <c r="J418" s="88" t="e">
        <f>+ROUND(Návrh!#REF!,-3)/$X$2</f>
        <v>#REF!</v>
      </c>
      <c r="K418" s="88">
        <f>+ROUND(Návrh!K415,-3)/$X$2</f>
        <v>-3</v>
      </c>
      <c r="L418" s="88">
        <f>+ROUND(Návrh!L415,-3)/$X$2</f>
        <v>0</v>
      </c>
      <c r="M418" s="67"/>
    </row>
    <row r="419" spans="1:13" x14ac:dyDescent="0.25">
      <c r="A419" s="42" t="s">
        <v>1307</v>
      </c>
      <c r="B419" s="14"/>
      <c r="C419" s="13"/>
      <c r="D419" s="13"/>
      <c r="E419" s="373" t="s">
        <v>422</v>
      </c>
      <c r="F419" s="374"/>
      <c r="G419" s="88">
        <f>+ROUND(Návrh!H416,-3)/$X$2</f>
        <v>80</v>
      </c>
      <c r="H419" s="88">
        <f>+ROUND(Návrh!I416,-3)/$X$2</f>
        <v>0</v>
      </c>
      <c r="I419" s="88">
        <f>+ROUND(Návrh!J416,-3)/$X$2</f>
        <v>0</v>
      </c>
      <c r="J419" s="88" t="e">
        <f>+ROUND(Návrh!#REF!,-3)/$X$2</f>
        <v>#REF!</v>
      </c>
      <c r="K419" s="88">
        <f>+ROUND(Návrh!K416,-3)/$X$2</f>
        <v>132</v>
      </c>
      <c r="L419" s="88">
        <f>+ROUND(Návrh!L416,-3)/$X$2</f>
        <v>0</v>
      </c>
      <c r="M419" s="67"/>
    </row>
    <row r="420" spans="1:13" x14ac:dyDescent="0.25">
      <c r="A420" s="42" t="s">
        <v>1308</v>
      </c>
      <c r="B420" s="14"/>
      <c r="C420" s="13"/>
      <c r="D420" s="13"/>
      <c r="E420" s="373" t="s">
        <v>423</v>
      </c>
      <c r="F420" s="374"/>
      <c r="G420" s="88">
        <f>+ROUND(Návrh!H417,-3)/$X$2</f>
        <v>-3698</v>
      </c>
      <c r="H420" s="88">
        <f>+ROUND(Návrh!I417,-3)/$X$2</f>
        <v>0</v>
      </c>
      <c r="I420" s="88">
        <f>+ROUND(Návrh!J417,-3)/$X$2</f>
        <v>0</v>
      </c>
      <c r="J420" s="88" t="e">
        <f>+ROUND(Návrh!#REF!,-3)/$X$2</f>
        <v>#REF!</v>
      </c>
      <c r="K420" s="88">
        <f>+ROUND(Návrh!K417,-3)/$X$2</f>
        <v>0</v>
      </c>
      <c r="L420" s="88">
        <f>+ROUND(Návrh!L417,-3)/$X$2</f>
        <v>0</v>
      </c>
      <c r="M420" s="67"/>
    </row>
    <row r="421" spans="1:13" x14ac:dyDescent="0.25">
      <c r="A421" s="38" t="s">
        <v>424</v>
      </c>
      <c r="B421" s="36"/>
      <c r="C421" s="22"/>
      <c r="D421" s="22"/>
      <c r="E421" s="385" t="s">
        <v>425</v>
      </c>
      <c r="F421" s="386"/>
      <c r="G421" s="91">
        <f>+ROUND(Návrh!H418,-3)/$X$2</f>
        <v>0</v>
      </c>
      <c r="H421" s="91">
        <f>+ROUND(Návrh!I418,-3)/$X$2</f>
        <v>0</v>
      </c>
      <c r="I421" s="91">
        <f>+ROUND(Návrh!J418,-3)/$X$2</f>
        <v>0</v>
      </c>
      <c r="J421" s="91" t="e">
        <f>+ROUND(Návrh!#REF!,-3)/$X$2</f>
        <v>#REF!</v>
      </c>
      <c r="K421" s="91">
        <f>+ROUND(Návrh!K418,-3)/$X$2</f>
        <v>0</v>
      </c>
      <c r="L421" s="91">
        <f>+ROUND(Návrh!L418,-3)/$X$2</f>
        <v>0</v>
      </c>
      <c r="M421" s="67"/>
    </row>
    <row r="422" spans="1:13" x14ac:dyDescent="0.25">
      <c r="A422" s="38" t="s">
        <v>426</v>
      </c>
      <c r="B422" s="36"/>
      <c r="C422" s="22"/>
      <c r="D422" s="22"/>
      <c r="E422" s="385" t="s">
        <v>427</v>
      </c>
      <c r="F422" s="386"/>
      <c r="G422" s="91">
        <f>+ROUND(Návrh!H419,-3)/$X$2</f>
        <v>-45438</v>
      </c>
      <c r="H422" s="91">
        <f>+ROUND(Návrh!I419,-3)/$X$2</f>
        <v>-47113</v>
      </c>
      <c r="I422" s="91">
        <f>+ROUND(Návrh!J419,-3)/$X$2</f>
        <v>-48500</v>
      </c>
      <c r="J422" s="91" t="e">
        <f>+ROUND(Návrh!#REF!,-3)/$X$2</f>
        <v>#REF!</v>
      </c>
      <c r="K422" s="91">
        <f>+ROUND(Návrh!K419,-3)/$X$2</f>
        <v>-50648</v>
      </c>
      <c r="L422" s="91">
        <f>+ROUND(Návrh!L419,-3)/$X$2</f>
        <v>-47172</v>
      </c>
      <c r="M422" s="67"/>
    </row>
    <row r="423" spans="1:13" x14ac:dyDescent="0.25">
      <c r="A423" s="26" t="s">
        <v>1309</v>
      </c>
      <c r="B423" s="26"/>
      <c r="C423" s="23"/>
      <c r="D423" s="23"/>
      <c r="E423" s="379" t="s">
        <v>428</v>
      </c>
      <c r="F423" s="380"/>
      <c r="G423" s="92">
        <f>+ROUND(Návrh!H420,-3)/$X$2</f>
        <v>-45438</v>
      </c>
      <c r="H423" s="92">
        <f>+ROUND(Návrh!I420,-3)/$X$2</f>
        <v>-47113</v>
      </c>
      <c r="I423" s="92">
        <f>+ROUND(Návrh!J420,-3)/$X$2</f>
        <v>-48500</v>
      </c>
      <c r="J423" s="92" t="e">
        <f>+ROUND(Návrh!#REF!,-3)/$X$2</f>
        <v>#REF!</v>
      </c>
      <c r="K423" s="92">
        <f>+ROUND(Návrh!K420,-3)/$X$2</f>
        <v>-50648</v>
      </c>
      <c r="L423" s="92">
        <f>+ROUND(Návrh!L420,-3)/$X$2</f>
        <v>-47172</v>
      </c>
      <c r="M423" s="67"/>
    </row>
    <row r="424" spans="1:13" x14ac:dyDescent="0.25">
      <c r="A424" s="42" t="s">
        <v>1310</v>
      </c>
      <c r="B424" s="20" t="s">
        <v>922</v>
      </c>
      <c r="C424" s="20" t="s">
        <v>919</v>
      </c>
      <c r="D424" s="20" t="s">
        <v>924</v>
      </c>
      <c r="E424" s="373" t="s">
        <v>429</v>
      </c>
      <c r="F424" s="374"/>
      <c r="G424" s="88">
        <f>+ROUND(Návrh!H421,-3)/$X$2</f>
        <v>-7927</v>
      </c>
      <c r="H424" s="88">
        <f>+ROUND(Návrh!I421,-3)/$X$2</f>
        <v>-8095</v>
      </c>
      <c r="I424" s="88">
        <f>+ROUND(Návrh!J421,-3)/$X$2</f>
        <v>-9600</v>
      </c>
      <c r="J424" s="88" t="e">
        <f>+ROUND(Návrh!#REF!,-3)/$X$2</f>
        <v>#REF!</v>
      </c>
      <c r="K424" s="88">
        <f>+ROUND(Návrh!K421,-3)/$X$2</f>
        <v>-9145</v>
      </c>
      <c r="L424" s="88">
        <f>+ROUND(Návrh!L421,-3)/$X$2</f>
        <v>-9424</v>
      </c>
      <c r="M424" s="67"/>
    </row>
    <row r="425" spans="1:13" x14ac:dyDescent="0.25">
      <c r="A425" s="42" t="s">
        <v>1311</v>
      </c>
      <c r="B425" s="20" t="s">
        <v>922</v>
      </c>
      <c r="C425" s="20" t="s">
        <v>919</v>
      </c>
      <c r="D425" s="20" t="s">
        <v>924</v>
      </c>
      <c r="E425" s="373" t="s">
        <v>430</v>
      </c>
      <c r="F425" s="374"/>
      <c r="G425" s="88">
        <f>+ROUND(Návrh!H422,-3)/$X$2</f>
        <v>-37338</v>
      </c>
      <c r="H425" s="88">
        <f>+ROUND(Návrh!I422,-3)/$X$2</f>
        <v>-38941</v>
      </c>
      <c r="I425" s="88">
        <f>+ROUND(Návrh!J422,-3)/$X$2</f>
        <v>-38800</v>
      </c>
      <c r="J425" s="88" t="e">
        <f>+ROUND(Návrh!#REF!,-3)/$X$2</f>
        <v>#REF!</v>
      </c>
      <c r="K425" s="88">
        <f>+ROUND(Návrh!K422,-3)/$X$2</f>
        <v>-41201</v>
      </c>
      <c r="L425" s="88">
        <f>+ROUND(Návrh!L422,-3)/$X$2</f>
        <v>-37437</v>
      </c>
      <c r="M425" s="67"/>
    </row>
    <row r="426" spans="1:13" x14ac:dyDescent="0.25">
      <c r="A426" s="42" t="s">
        <v>1312</v>
      </c>
      <c r="B426" s="20" t="s">
        <v>922</v>
      </c>
      <c r="C426" s="20" t="s">
        <v>919</v>
      </c>
      <c r="D426" s="20" t="s">
        <v>924</v>
      </c>
      <c r="E426" s="373" t="s">
        <v>431</v>
      </c>
      <c r="F426" s="374"/>
      <c r="G426" s="88">
        <f>+ROUND(Návrh!H423,-3)/$X$2</f>
        <v>-173</v>
      </c>
      <c r="H426" s="88">
        <f>+ROUND(Návrh!I423,-3)/$X$2</f>
        <v>-77</v>
      </c>
      <c r="I426" s="88">
        <f>+ROUND(Návrh!J423,-3)/$X$2</f>
        <v>-100</v>
      </c>
      <c r="J426" s="88" t="e">
        <f>+ROUND(Návrh!#REF!,-3)/$X$2</f>
        <v>#REF!</v>
      </c>
      <c r="K426" s="88">
        <f>+ROUND(Návrh!K423,-3)/$X$2</f>
        <v>-302</v>
      </c>
      <c r="L426" s="88">
        <f>+ROUND(Návrh!L423,-3)/$X$2</f>
        <v>-311</v>
      </c>
      <c r="M426" s="67"/>
    </row>
    <row r="427" spans="1:13" x14ac:dyDescent="0.25">
      <c r="A427" s="38" t="s">
        <v>432</v>
      </c>
      <c r="B427" s="36"/>
      <c r="C427" s="22"/>
      <c r="D427" s="22"/>
      <c r="E427" s="385" t="s">
        <v>433</v>
      </c>
      <c r="F427" s="386"/>
      <c r="G427" s="91">
        <f>+ROUND(Návrh!H424,-3)/$X$2</f>
        <v>0</v>
      </c>
      <c r="H427" s="91">
        <f>+ROUND(Návrh!I424,-3)/$X$2</f>
        <v>0</v>
      </c>
      <c r="I427" s="91">
        <f>+ROUND(Návrh!J424,-3)/$X$2</f>
        <v>0</v>
      </c>
      <c r="J427" s="91" t="e">
        <f>+ROUND(Návrh!#REF!,-3)/$X$2</f>
        <v>#REF!</v>
      </c>
      <c r="K427" s="91">
        <f>+ROUND(Návrh!K424,-3)/$X$2</f>
        <v>0</v>
      </c>
      <c r="L427" s="91">
        <f>+ROUND(Návrh!L424,-3)/$X$2</f>
        <v>0</v>
      </c>
      <c r="M427" s="67"/>
    </row>
    <row r="428" spans="1:13" x14ac:dyDescent="0.25">
      <c r="A428" s="38" t="s">
        <v>434</v>
      </c>
      <c r="B428" s="36"/>
      <c r="C428" s="22"/>
      <c r="D428" s="22"/>
      <c r="E428" s="385" t="s">
        <v>435</v>
      </c>
      <c r="F428" s="386"/>
      <c r="G428" s="91">
        <f>+ROUND(Návrh!H425,-3)/$X$2</f>
        <v>0</v>
      </c>
      <c r="H428" s="91">
        <f>+ROUND(Návrh!I425,-3)/$X$2</f>
        <v>0</v>
      </c>
      <c r="I428" s="91">
        <f>+ROUND(Návrh!J425,-3)/$X$2</f>
        <v>0</v>
      </c>
      <c r="J428" s="91" t="e">
        <f>+ROUND(Návrh!#REF!,-3)/$X$2</f>
        <v>#REF!</v>
      </c>
      <c r="K428" s="91">
        <f>+ROUND(Návrh!K425,-3)/$X$2</f>
        <v>0</v>
      </c>
      <c r="L428" s="91">
        <f>+ROUND(Návrh!L425,-3)/$X$2</f>
        <v>0</v>
      </c>
      <c r="M428" s="67"/>
    </row>
    <row r="429" spans="1:13" x14ac:dyDescent="0.25">
      <c r="A429" s="38" t="s">
        <v>436</v>
      </c>
      <c r="B429" s="36"/>
      <c r="C429" s="22"/>
      <c r="D429" s="22"/>
      <c r="E429" s="385" t="s">
        <v>437</v>
      </c>
      <c r="F429" s="386"/>
      <c r="G429" s="91">
        <f>+ROUND(Návrh!H426,-3)/$X$2</f>
        <v>-267</v>
      </c>
      <c r="H429" s="91">
        <f>+ROUND(Návrh!I426,-3)/$X$2</f>
        <v>-263</v>
      </c>
      <c r="I429" s="91">
        <f>+ROUND(Návrh!J426,-3)/$X$2</f>
        <v>0</v>
      </c>
      <c r="J429" s="91" t="e">
        <f>+ROUND(Návrh!#REF!,-3)/$X$2</f>
        <v>#REF!</v>
      </c>
      <c r="K429" s="91">
        <f>+ROUND(Návrh!K426,-3)/$X$2</f>
        <v>-258</v>
      </c>
      <c r="L429" s="91">
        <f>+ROUND(Návrh!L426,-3)/$X$2</f>
        <v>0</v>
      </c>
      <c r="M429" s="67"/>
    </row>
    <row r="430" spans="1:13" x14ac:dyDescent="0.25">
      <c r="A430" s="26" t="s">
        <v>1313</v>
      </c>
      <c r="B430" s="26"/>
      <c r="C430" s="23"/>
      <c r="D430" s="23"/>
      <c r="E430" s="379" t="s">
        <v>438</v>
      </c>
      <c r="F430" s="380"/>
      <c r="G430" s="92">
        <f>+ROUND(Návrh!H427,-3)/$X$2</f>
        <v>-35</v>
      </c>
      <c r="H430" s="92">
        <f>+ROUND(Návrh!I427,-3)/$X$2</f>
        <v>-18</v>
      </c>
      <c r="I430" s="92">
        <f>+ROUND(Návrh!J427,-3)/$X$2</f>
        <v>0</v>
      </c>
      <c r="J430" s="92" t="e">
        <f>+ROUND(Návrh!#REF!,-3)/$X$2</f>
        <v>#REF!</v>
      </c>
      <c r="K430" s="92">
        <f>+ROUND(Návrh!K427,-3)/$X$2</f>
        <v>-187</v>
      </c>
      <c r="L430" s="92">
        <f>+ROUND(Návrh!L427,-3)/$X$2</f>
        <v>0</v>
      </c>
      <c r="M430" s="67"/>
    </row>
    <row r="431" spans="1:13" x14ac:dyDescent="0.25">
      <c r="A431" s="42" t="s">
        <v>1314</v>
      </c>
      <c r="B431" s="14"/>
      <c r="C431" s="13"/>
      <c r="D431" s="13"/>
      <c r="E431" s="373" t="s">
        <v>439</v>
      </c>
      <c r="F431" s="374"/>
      <c r="G431" s="88">
        <f>+ROUND(Návrh!H428,-3)/$X$2</f>
        <v>-35</v>
      </c>
      <c r="H431" s="88">
        <f>+ROUND(Návrh!I428,-3)/$X$2</f>
        <v>-18</v>
      </c>
      <c r="I431" s="88">
        <f>+ROUND(Návrh!J428,-3)/$X$2</f>
        <v>0</v>
      </c>
      <c r="J431" s="88" t="e">
        <f>+ROUND(Návrh!#REF!,-3)/$X$2</f>
        <v>#REF!</v>
      </c>
      <c r="K431" s="88">
        <f>+ROUND(Návrh!K428,-3)/$X$2</f>
        <v>-187</v>
      </c>
      <c r="L431" s="88">
        <f>+ROUND(Návrh!L428,-3)/$X$2</f>
        <v>0</v>
      </c>
      <c r="M431" s="67"/>
    </row>
    <row r="432" spans="1:13" x14ac:dyDescent="0.25">
      <c r="A432" s="26" t="s">
        <v>1315</v>
      </c>
      <c r="B432" s="26"/>
      <c r="C432" s="23"/>
      <c r="D432" s="23"/>
      <c r="E432" s="379" t="s">
        <v>440</v>
      </c>
      <c r="F432" s="380"/>
      <c r="G432" s="92">
        <f>+ROUND(Návrh!H429,-3)/$X$2</f>
        <v>-229</v>
      </c>
      <c r="H432" s="92">
        <f>+ROUND(Návrh!I429,-3)/$X$2</f>
        <v>-245</v>
      </c>
      <c r="I432" s="92">
        <f>+ROUND(Návrh!J429,-3)/$X$2</f>
        <v>0</v>
      </c>
      <c r="J432" s="92" t="e">
        <f>+ROUND(Návrh!#REF!,-3)/$X$2</f>
        <v>#REF!</v>
      </c>
      <c r="K432" s="92">
        <f>+ROUND(Návrh!K429,-3)/$X$2</f>
        <v>-70</v>
      </c>
      <c r="L432" s="92">
        <f>+ROUND(Návrh!L429,-3)/$X$2</f>
        <v>0</v>
      </c>
      <c r="M432" s="67"/>
    </row>
    <row r="433" spans="1:13" x14ac:dyDescent="0.25">
      <c r="A433" s="42" t="s">
        <v>1316</v>
      </c>
      <c r="B433" s="27" t="s">
        <v>916</v>
      </c>
      <c r="C433" s="16" t="s">
        <v>923</v>
      </c>
      <c r="D433" s="16" t="s">
        <v>917</v>
      </c>
      <c r="E433" s="373" t="s">
        <v>441</v>
      </c>
      <c r="F433" s="374"/>
      <c r="G433" s="88">
        <f>+ROUND(Návrh!H430,-3)/$X$2</f>
        <v>-229</v>
      </c>
      <c r="H433" s="88">
        <f>+ROUND(Návrh!I430,-3)/$X$2</f>
        <v>-245</v>
      </c>
      <c r="I433" s="88">
        <f>+ROUND(Návrh!J430,-3)/$X$2</f>
        <v>0</v>
      </c>
      <c r="J433" s="88" t="e">
        <f>+ROUND(Návrh!#REF!,-3)/$X$2</f>
        <v>#REF!</v>
      </c>
      <c r="K433" s="88">
        <f>+ROUND(Návrh!K430,-3)/$X$2</f>
        <v>-70</v>
      </c>
      <c r="L433" s="88">
        <f>+ROUND(Návrh!L430,-3)/$X$2</f>
        <v>0</v>
      </c>
      <c r="M433" s="67"/>
    </row>
    <row r="434" spans="1:13" x14ac:dyDescent="0.25">
      <c r="A434" s="26" t="s">
        <v>1317</v>
      </c>
      <c r="B434" s="26"/>
      <c r="C434" s="23"/>
      <c r="D434" s="23"/>
      <c r="E434" s="379" t="s">
        <v>442</v>
      </c>
      <c r="F434" s="380"/>
      <c r="G434" s="92">
        <f>+ROUND(Návrh!H431,-3)/$X$2</f>
        <v>-3</v>
      </c>
      <c r="H434" s="92">
        <f>+ROUND(Návrh!I431,-3)/$X$2</f>
        <v>0</v>
      </c>
      <c r="I434" s="92">
        <f>+ROUND(Návrh!J431,-3)/$X$2</f>
        <v>0</v>
      </c>
      <c r="J434" s="92" t="e">
        <f>+ROUND(Návrh!#REF!,-3)/$X$2</f>
        <v>#REF!</v>
      </c>
      <c r="K434" s="92">
        <f>+ROUND(Návrh!K431,-3)/$X$2</f>
        <v>0</v>
      </c>
      <c r="L434" s="92">
        <f>+ROUND(Návrh!L431,-3)/$X$2</f>
        <v>0</v>
      </c>
      <c r="M434" s="67"/>
    </row>
    <row r="435" spans="1:13" x14ac:dyDescent="0.25">
      <c r="A435" s="42" t="s">
        <v>1318</v>
      </c>
      <c r="B435" s="14"/>
      <c r="C435" s="13"/>
      <c r="D435" s="13"/>
      <c r="E435" s="373" t="s">
        <v>443</v>
      </c>
      <c r="F435" s="374"/>
      <c r="G435" s="88">
        <f>+ROUND(Návrh!H432,-3)/$X$2</f>
        <v>-3</v>
      </c>
      <c r="H435" s="88">
        <f>+ROUND(Návrh!I432,-3)/$X$2</f>
        <v>0</v>
      </c>
      <c r="I435" s="88">
        <f>+ROUND(Návrh!J432,-3)/$X$2</f>
        <v>0</v>
      </c>
      <c r="J435" s="88" t="e">
        <f>+ROUND(Návrh!#REF!,-3)/$X$2</f>
        <v>#REF!</v>
      </c>
      <c r="K435" s="88">
        <f>+ROUND(Návrh!K432,-3)/$X$2</f>
        <v>0</v>
      </c>
      <c r="L435" s="88">
        <f>+ROUND(Návrh!L432,-3)/$X$2</f>
        <v>0</v>
      </c>
      <c r="M435" s="67"/>
    </row>
    <row r="436" spans="1:13" x14ac:dyDescent="0.25">
      <c r="A436" s="38" t="s">
        <v>444</v>
      </c>
      <c r="B436" s="38"/>
      <c r="C436" s="22"/>
      <c r="D436" s="22"/>
      <c r="E436" s="385" t="s">
        <v>445</v>
      </c>
      <c r="F436" s="386"/>
      <c r="G436" s="91">
        <f>+ROUND(Návrh!H433,-3)/$X$2</f>
        <v>0</v>
      </c>
      <c r="H436" s="91">
        <f>+ROUND(Návrh!I433,-3)/$X$2</f>
        <v>0</v>
      </c>
      <c r="I436" s="91">
        <f>+ROUND(Návrh!J433,-3)/$X$2</f>
        <v>0</v>
      </c>
      <c r="J436" s="91" t="e">
        <f>+ROUND(Návrh!#REF!,-3)/$X$2</f>
        <v>#REF!</v>
      </c>
      <c r="K436" s="91">
        <f>+ROUND(Návrh!K433,-3)/$X$2</f>
        <v>0</v>
      </c>
      <c r="L436" s="91">
        <f>+ROUND(Návrh!L433,-3)/$X$2</f>
        <v>0</v>
      </c>
      <c r="M436" s="67"/>
    </row>
    <row r="437" spans="1:13" x14ac:dyDescent="0.25">
      <c r="A437" s="38" t="s">
        <v>446</v>
      </c>
      <c r="B437" s="38"/>
      <c r="C437" s="22"/>
      <c r="D437" s="22"/>
      <c r="E437" s="385" t="s">
        <v>447</v>
      </c>
      <c r="F437" s="386"/>
      <c r="G437" s="91">
        <f>+ROUND(Návrh!H434,-3)/$X$2</f>
        <v>-15061</v>
      </c>
      <c r="H437" s="91">
        <f>+ROUND(Návrh!I434,-3)/$X$2</f>
        <v>-18337</v>
      </c>
      <c r="I437" s="91">
        <f>+ROUND(Návrh!J434,-3)/$X$2</f>
        <v>-17408</v>
      </c>
      <c r="J437" s="91" t="e">
        <f>+ROUND(Návrh!#REF!,-3)/$X$2</f>
        <v>#REF!</v>
      </c>
      <c r="K437" s="91">
        <f>+ROUND(Návrh!K434,-3)/$X$2</f>
        <v>-16658</v>
      </c>
      <c r="L437" s="91">
        <f>+ROUND(Návrh!L434,-3)/$X$2</f>
        <v>-18462</v>
      </c>
      <c r="M437" s="67"/>
    </row>
    <row r="438" spans="1:13" x14ac:dyDescent="0.25">
      <c r="A438" s="26" t="s">
        <v>1319</v>
      </c>
      <c r="B438" s="26"/>
      <c r="C438" s="23"/>
      <c r="D438" s="23"/>
      <c r="E438" s="379" t="s">
        <v>448</v>
      </c>
      <c r="F438" s="380"/>
      <c r="G438" s="92">
        <f>+ROUND(Návrh!H435,-3)/$X$2</f>
        <v>14</v>
      </c>
      <c r="H438" s="92">
        <f>+ROUND(Návrh!I435,-3)/$X$2</f>
        <v>10</v>
      </c>
      <c r="I438" s="92">
        <f>+ROUND(Návrh!J435,-3)/$X$2</f>
        <v>0</v>
      </c>
      <c r="J438" s="92" t="e">
        <f>+ROUND(Návrh!#REF!,-3)/$X$2</f>
        <v>#REF!</v>
      </c>
      <c r="K438" s="92">
        <f>+ROUND(Návrh!K435,-3)/$X$2</f>
        <v>8</v>
      </c>
      <c r="L438" s="92">
        <f>+ROUND(Návrh!L435,-3)/$X$2</f>
        <v>0</v>
      </c>
      <c r="M438" s="67"/>
    </row>
    <row r="439" spans="1:13" x14ac:dyDescent="0.25">
      <c r="A439" s="42" t="s">
        <v>1320</v>
      </c>
      <c r="B439" s="14"/>
      <c r="C439" s="13"/>
      <c r="D439" s="13"/>
      <c r="E439" s="373" t="s">
        <v>449</v>
      </c>
      <c r="F439" s="374"/>
      <c r="G439" s="88">
        <f>+ROUND(Návrh!H436,-3)/$X$2</f>
        <v>14</v>
      </c>
      <c r="H439" s="88">
        <f>+ROUND(Návrh!I436,-3)/$X$2</f>
        <v>10</v>
      </c>
      <c r="I439" s="88">
        <f>+ROUND(Návrh!J436,-3)/$X$2</f>
        <v>0</v>
      </c>
      <c r="J439" s="88" t="e">
        <f>+ROUND(Návrh!#REF!,-3)/$X$2</f>
        <v>#REF!</v>
      </c>
      <c r="K439" s="88">
        <f>+ROUND(Návrh!K436,-3)/$X$2</f>
        <v>8</v>
      </c>
      <c r="L439" s="88">
        <f>+ROUND(Návrh!L436,-3)/$X$2</f>
        <v>0</v>
      </c>
      <c r="M439" s="67"/>
    </row>
    <row r="440" spans="1:13" x14ac:dyDescent="0.25">
      <c r="A440" s="26" t="s">
        <v>1321</v>
      </c>
      <c r="B440" s="26"/>
      <c r="C440" s="23"/>
      <c r="D440" s="23"/>
      <c r="E440" s="379" t="s">
        <v>450</v>
      </c>
      <c r="F440" s="380"/>
      <c r="G440" s="92">
        <f>+ROUND(Návrh!H437,-3)/$X$2</f>
        <v>-1085</v>
      </c>
      <c r="H440" s="92">
        <f>+ROUND(Návrh!I437,-3)/$X$2</f>
        <v>-490</v>
      </c>
      <c r="I440" s="92">
        <f>+ROUND(Návrh!J437,-3)/$X$2</f>
        <v>0</v>
      </c>
      <c r="J440" s="92" t="e">
        <f>+ROUND(Návrh!#REF!,-3)/$X$2</f>
        <v>#REF!</v>
      </c>
      <c r="K440" s="92">
        <f>+ROUND(Návrh!K437,-3)/$X$2</f>
        <v>-573</v>
      </c>
      <c r="L440" s="92">
        <f>+ROUND(Návrh!L437,-3)/$X$2</f>
        <v>0</v>
      </c>
      <c r="M440" s="67"/>
    </row>
    <row r="441" spans="1:13" x14ac:dyDescent="0.25">
      <c r="A441" s="42" t="s">
        <v>1322</v>
      </c>
      <c r="B441" s="28" t="s">
        <v>916</v>
      </c>
      <c r="C441" s="20" t="s">
        <v>919</v>
      </c>
      <c r="D441" s="28" t="s">
        <v>1089</v>
      </c>
      <c r="E441" s="373" t="s">
        <v>451</v>
      </c>
      <c r="F441" s="374"/>
      <c r="G441" s="88">
        <f>+ROUND(Návrh!H438,-3)/$X$2</f>
        <v>-875</v>
      </c>
      <c r="H441" s="88">
        <f>+ROUND(Návrh!I438,-3)/$X$2</f>
        <v>-432</v>
      </c>
      <c r="I441" s="88">
        <f>+ROUND(Návrh!J438,-3)/$X$2</f>
        <v>0</v>
      </c>
      <c r="J441" s="88" t="e">
        <f>+ROUND(Návrh!#REF!,-3)/$X$2</f>
        <v>#REF!</v>
      </c>
      <c r="K441" s="88">
        <f>+ROUND(Návrh!K438,-3)/$X$2</f>
        <v>-573</v>
      </c>
      <c r="L441" s="88">
        <f>+ROUND(Návrh!L438,-3)/$X$2</f>
        <v>0</v>
      </c>
      <c r="M441" s="67"/>
    </row>
    <row r="442" spans="1:13" x14ac:dyDescent="0.25">
      <c r="A442" s="42" t="s">
        <v>1323</v>
      </c>
      <c r="B442" s="20" t="s">
        <v>916</v>
      </c>
      <c r="C442" s="20" t="s">
        <v>923</v>
      </c>
      <c r="D442" s="20" t="s">
        <v>1648</v>
      </c>
      <c r="E442" s="373" t="s">
        <v>452</v>
      </c>
      <c r="F442" s="374"/>
      <c r="G442" s="88">
        <f>+ROUND(Návrh!H439,-3)/$X$2</f>
        <v>-210</v>
      </c>
      <c r="H442" s="88">
        <f>+ROUND(Návrh!I439,-3)/$X$2</f>
        <v>-58</v>
      </c>
      <c r="I442" s="88">
        <f>+ROUND(Návrh!J439,-3)/$X$2</f>
        <v>0</v>
      </c>
      <c r="J442" s="88" t="e">
        <f>+ROUND(Návrh!#REF!,-3)/$X$2</f>
        <v>#REF!</v>
      </c>
      <c r="K442" s="88">
        <f>+ROUND(Návrh!K439,-3)/$X$2</f>
        <v>0</v>
      </c>
      <c r="L442" s="88">
        <f>+ROUND(Návrh!L439,-3)/$X$2</f>
        <v>0</v>
      </c>
      <c r="M442" s="67"/>
    </row>
    <row r="443" spans="1:13" x14ac:dyDescent="0.25">
      <c r="A443" s="26" t="s">
        <v>1324</v>
      </c>
      <c r="B443" s="26"/>
      <c r="C443" s="23"/>
      <c r="D443" s="23"/>
      <c r="E443" s="379" t="s">
        <v>453</v>
      </c>
      <c r="F443" s="380"/>
      <c r="G443" s="92">
        <f>+ROUND(Návrh!H440,-3)/$X$2</f>
        <v>2687</v>
      </c>
      <c r="H443" s="92">
        <f>+ROUND(Návrh!I440,-3)/$X$2</f>
        <v>2647</v>
      </c>
      <c r="I443" s="92">
        <f>+ROUND(Návrh!J440,-3)/$X$2</f>
        <v>2500</v>
      </c>
      <c r="J443" s="92" t="e">
        <f>+ROUND(Návrh!#REF!,-3)/$X$2</f>
        <v>#REF!</v>
      </c>
      <c r="K443" s="92">
        <f>+ROUND(Návrh!K440,-3)/$X$2</f>
        <v>3890</v>
      </c>
      <c r="L443" s="92">
        <f>+ROUND(Návrh!L440,-3)/$X$2</f>
        <v>2800</v>
      </c>
      <c r="M443" s="67"/>
    </row>
    <row r="444" spans="1:13" x14ac:dyDescent="0.25">
      <c r="A444" s="42" t="s">
        <v>1325</v>
      </c>
      <c r="B444" s="27" t="s">
        <v>916</v>
      </c>
      <c r="C444" s="28" t="s">
        <v>923</v>
      </c>
      <c r="D444" s="28" t="s">
        <v>1643</v>
      </c>
      <c r="E444" s="373" t="s">
        <v>454</v>
      </c>
      <c r="F444" s="374"/>
      <c r="G444" s="88">
        <f>+ROUND(Návrh!H441,-3)/$X$2</f>
        <v>2412</v>
      </c>
      <c r="H444" s="88">
        <f>+ROUND(Návrh!I441,-3)/$X$2</f>
        <v>2647</v>
      </c>
      <c r="I444" s="88">
        <f>+ROUND(Návrh!J441,-3)/$X$2</f>
        <v>2500</v>
      </c>
      <c r="J444" s="88" t="e">
        <f>+ROUND(Návrh!#REF!,-3)/$X$2</f>
        <v>#REF!</v>
      </c>
      <c r="K444" s="88">
        <f>+ROUND(Návrh!K441,-3)/$X$2</f>
        <v>3890</v>
      </c>
      <c r="L444" s="88">
        <f>+ROUND(Návrh!L441,-3)/$X$2</f>
        <v>2800</v>
      </c>
      <c r="M444" s="67"/>
    </row>
    <row r="445" spans="1:13" x14ac:dyDescent="0.25">
      <c r="A445" s="42" t="s">
        <v>1326</v>
      </c>
      <c r="B445" s="27"/>
      <c r="C445" s="28"/>
      <c r="D445" s="28"/>
      <c r="E445" s="373" t="s">
        <v>455</v>
      </c>
      <c r="F445" s="374"/>
      <c r="G445" s="88">
        <f>+ROUND(Návrh!H442,-3)/$X$2</f>
        <v>0</v>
      </c>
      <c r="H445" s="88">
        <f>+ROUND(Návrh!I442,-3)/$X$2</f>
        <v>0</v>
      </c>
      <c r="I445" s="88">
        <f>+ROUND(Návrh!J442,-3)/$X$2</f>
        <v>0</v>
      </c>
      <c r="J445" s="88" t="e">
        <f>+ROUND(Návrh!#REF!,-3)/$X$2</f>
        <v>#REF!</v>
      </c>
      <c r="K445" s="88">
        <f>+ROUND(Návrh!K442,-3)/$X$2</f>
        <v>0</v>
      </c>
      <c r="L445" s="88">
        <f>+ROUND(Návrh!L442,-3)/$X$2</f>
        <v>0</v>
      </c>
      <c r="M445" s="67"/>
    </row>
    <row r="446" spans="1:13" x14ac:dyDescent="0.25">
      <c r="A446" s="42" t="s">
        <v>1327</v>
      </c>
      <c r="B446" s="27"/>
      <c r="C446" s="28"/>
      <c r="D446" s="28"/>
      <c r="E446" s="373" t="s">
        <v>456</v>
      </c>
      <c r="F446" s="374"/>
      <c r="G446" s="88">
        <f>+ROUND(Návrh!H443,-3)/$X$2</f>
        <v>275</v>
      </c>
      <c r="H446" s="88">
        <f>+ROUND(Návrh!I443,-3)/$X$2</f>
        <v>0</v>
      </c>
      <c r="I446" s="88">
        <f>+ROUND(Návrh!J443,-3)/$X$2</f>
        <v>0</v>
      </c>
      <c r="J446" s="88" t="e">
        <f>+ROUND(Návrh!#REF!,-3)/$X$2</f>
        <v>#REF!</v>
      </c>
      <c r="K446" s="88">
        <f>+ROUND(Návrh!K443,-3)/$X$2</f>
        <v>0</v>
      </c>
      <c r="L446" s="88">
        <f>+ROUND(Návrh!L443,-3)/$X$2</f>
        <v>0</v>
      </c>
      <c r="M446" s="67"/>
    </row>
    <row r="447" spans="1:13" x14ac:dyDescent="0.25">
      <c r="A447" s="26" t="s">
        <v>1328</v>
      </c>
      <c r="B447" s="31"/>
      <c r="C447" s="32"/>
      <c r="D447" s="32"/>
      <c r="E447" s="379" t="s">
        <v>457</v>
      </c>
      <c r="F447" s="380"/>
      <c r="G447" s="92">
        <f>+ROUND(Návrh!H444,-3)/$X$2</f>
        <v>0</v>
      </c>
      <c r="H447" s="92">
        <f>+ROUND(Návrh!I444,-3)/$X$2</f>
        <v>-65</v>
      </c>
      <c r="I447" s="92">
        <f>+ROUND(Návrh!J444,-3)/$X$2</f>
        <v>0</v>
      </c>
      <c r="J447" s="92" t="e">
        <f>+ROUND(Návrh!#REF!,-3)/$X$2</f>
        <v>#REF!</v>
      </c>
      <c r="K447" s="92">
        <f>+ROUND(Návrh!K444,-3)/$X$2</f>
        <v>0</v>
      </c>
      <c r="L447" s="92">
        <f>+ROUND(Návrh!L444,-3)/$X$2</f>
        <v>0</v>
      </c>
      <c r="M447" s="67"/>
    </row>
    <row r="448" spans="1:13" x14ac:dyDescent="0.25">
      <c r="A448" s="42" t="s">
        <v>1329</v>
      </c>
      <c r="B448" s="14"/>
      <c r="C448" s="13"/>
      <c r="D448" s="13"/>
      <c r="E448" s="373" t="s">
        <v>458</v>
      </c>
      <c r="F448" s="374"/>
      <c r="G448" s="88">
        <f>+ROUND(Návrh!H445,-3)/$X$2</f>
        <v>0</v>
      </c>
      <c r="H448" s="88">
        <f>+ROUND(Návrh!I445,-3)/$X$2</f>
        <v>-65</v>
      </c>
      <c r="I448" s="88">
        <f>+ROUND(Návrh!J445,-3)/$X$2</f>
        <v>0</v>
      </c>
      <c r="J448" s="88" t="e">
        <f>+ROUND(Návrh!#REF!,-3)/$X$2</f>
        <v>#REF!</v>
      </c>
      <c r="K448" s="88">
        <f>+ROUND(Návrh!K445,-3)/$X$2</f>
        <v>0</v>
      </c>
      <c r="L448" s="88">
        <f>+ROUND(Návrh!L445,-3)/$X$2</f>
        <v>0</v>
      </c>
      <c r="M448" s="67"/>
    </row>
    <row r="449" spans="1:13" x14ac:dyDescent="0.25">
      <c r="A449" s="26" t="s">
        <v>1330</v>
      </c>
      <c r="B449" s="26"/>
      <c r="C449" s="23"/>
      <c r="D449" s="23"/>
      <c r="E449" s="379" t="s">
        <v>459</v>
      </c>
      <c r="F449" s="380"/>
      <c r="G449" s="92">
        <f>+ROUND(Návrh!H446,-3)/$X$2</f>
        <v>-6233</v>
      </c>
      <c r="H449" s="92">
        <f>+ROUND(Návrh!I446,-3)/$X$2</f>
        <v>-6767</v>
      </c>
      <c r="I449" s="92">
        <f>+ROUND(Návrh!J446,-3)/$X$2</f>
        <v>-7331</v>
      </c>
      <c r="J449" s="92" t="e">
        <f>+ROUND(Návrh!#REF!,-3)/$X$2</f>
        <v>#REF!</v>
      </c>
      <c r="K449" s="92">
        <f>+ROUND(Návrh!K446,-3)/$X$2</f>
        <v>-6196</v>
      </c>
      <c r="L449" s="92">
        <f>+ROUND(Návrh!L446,-3)/$X$2</f>
        <v>-5672</v>
      </c>
      <c r="M449" s="67"/>
    </row>
    <row r="450" spans="1:13" x14ac:dyDescent="0.25">
      <c r="A450" s="42" t="s">
        <v>1331</v>
      </c>
      <c r="B450" s="27" t="s">
        <v>916</v>
      </c>
      <c r="C450" s="28" t="s">
        <v>919</v>
      </c>
      <c r="D450" s="28" t="s">
        <v>917</v>
      </c>
      <c r="E450" s="373" t="s">
        <v>460</v>
      </c>
      <c r="F450" s="374"/>
      <c r="G450" s="88">
        <f>+ROUND(Návrh!H447,-3)/$X$2</f>
        <v>0</v>
      </c>
      <c r="H450" s="88">
        <f>+ROUND(Návrh!I447,-3)/$X$2</f>
        <v>-98</v>
      </c>
      <c r="I450" s="88">
        <f>+ROUND(Návrh!J447,-3)/$X$2</f>
        <v>0</v>
      </c>
      <c r="J450" s="88" t="e">
        <f>+ROUND(Návrh!#REF!,-3)/$X$2</f>
        <v>#REF!</v>
      </c>
      <c r="K450" s="88">
        <f>+ROUND(Návrh!K447,-3)/$X$2</f>
        <v>6</v>
      </c>
      <c r="L450" s="88">
        <f>+ROUND(Návrh!L447,-3)/$X$2</f>
        <v>0</v>
      </c>
      <c r="M450" s="67"/>
    </row>
    <row r="451" spans="1:13" x14ac:dyDescent="0.25">
      <c r="A451" s="42" t="s">
        <v>1332</v>
      </c>
      <c r="B451" s="27" t="s">
        <v>916</v>
      </c>
      <c r="C451" s="28" t="s">
        <v>919</v>
      </c>
      <c r="D451" s="28" t="s">
        <v>917</v>
      </c>
      <c r="E451" s="373" t="s">
        <v>461</v>
      </c>
      <c r="F451" s="374"/>
      <c r="G451" s="88">
        <f>+ROUND(Návrh!H448,-3)/$X$2</f>
        <v>-324</v>
      </c>
      <c r="H451" s="88">
        <f>+ROUND(Návrh!I448,-3)/$X$2</f>
        <v>-327</v>
      </c>
      <c r="I451" s="88">
        <f>+ROUND(Návrh!J448,-3)/$X$2</f>
        <v>-1880</v>
      </c>
      <c r="J451" s="88" t="e">
        <f>+ROUND(Návrh!#REF!,-3)/$X$2</f>
        <v>#REF!</v>
      </c>
      <c r="K451" s="88">
        <f>+ROUND(Návrh!K448,-3)/$X$2</f>
        <v>-225</v>
      </c>
      <c r="L451" s="88">
        <f>+ROUND(Návrh!L448,-3)/$X$2</f>
        <v>-240</v>
      </c>
      <c r="M451" s="67"/>
    </row>
    <row r="452" spans="1:13" x14ac:dyDescent="0.25">
      <c r="A452" s="42" t="s">
        <v>1333</v>
      </c>
      <c r="B452" s="14"/>
      <c r="C452" s="13"/>
      <c r="D452" s="13"/>
      <c r="E452" s="373" t="s">
        <v>462</v>
      </c>
      <c r="F452" s="374"/>
      <c r="G452" s="88">
        <f>+ROUND(Návrh!H449,-3)/$X$2</f>
        <v>-266</v>
      </c>
      <c r="H452" s="88">
        <f>+ROUND(Návrh!I449,-3)/$X$2</f>
        <v>-388</v>
      </c>
      <c r="I452" s="88">
        <f>+ROUND(Návrh!J449,-3)/$X$2</f>
        <v>0</v>
      </c>
      <c r="J452" s="88" t="e">
        <f>+ROUND(Návrh!#REF!,-3)/$X$2</f>
        <v>#REF!</v>
      </c>
      <c r="K452" s="88">
        <f>+ROUND(Návrh!K449,-3)/$X$2</f>
        <v>-447</v>
      </c>
      <c r="L452" s="88">
        <f>+ROUND(Návrh!L449,-3)/$X$2</f>
        <v>0</v>
      </c>
      <c r="M452" s="67"/>
    </row>
    <row r="453" spans="1:13" x14ac:dyDescent="0.25">
      <c r="A453" s="42" t="s">
        <v>1334</v>
      </c>
      <c r="B453" s="14"/>
      <c r="C453" s="13"/>
      <c r="D453" s="13"/>
      <c r="E453" s="373" t="s">
        <v>463</v>
      </c>
      <c r="F453" s="374"/>
      <c r="G453" s="88">
        <f>+ROUND(Návrh!H450,-3)/$X$2</f>
        <v>14</v>
      </c>
      <c r="H453" s="88">
        <f>+ROUND(Návrh!I450,-3)/$X$2</f>
        <v>32</v>
      </c>
      <c r="I453" s="88">
        <f>+ROUND(Návrh!J450,-3)/$X$2</f>
        <v>0</v>
      </c>
      <c r="J453" s="88" t="e">
        <f>+ROUND(Návrh!#REF!,-3)/$X$2</f>
        <v>#REF!</v>
      </c>
      <c r="K453" s="88">
        <f>+ROUND(Návrh!K450,-3)/$X$2</f>
        <v>13</v>
      </c>
      <c r="L453" s="88">
        <f>+ROUND(Návrh!L450,-3)/$X$2</f>
        <v>0</v>
      </c>
      <c r="M453" s="67"/>
    </row>
    <row r="454" spans="1:13" x14ac:dyDescent="0.25">
      <c r="A454" s="42" t="s">
        <v>1335</v>
      </c>
      <c r="B454" s="27" t="s">
        <v>916</v>
      </c>
      <c r="C454" s="28" t="s">
        <v>923</v>
      </c>
      <c r="D454" s="28" t="s">
        <v>917</v>
      </c>
      <c r="E454" s="373" t="s">
        <v>464</v>
      </c>
      <c r="F454" s="374"/>
      <c r="G454" s="88">
        <f>+ROUND(Návrh!H451,-3)/$X$2</f>
        <v>-77</v>
      </c>
      <c r="H454" s="88">
        <f>+ROUND(Návrh!I451,-3)/$X$2</f>
        <v>-76</v>
      </c>
      <c r="I454" s="88">
        <f>+ROUND(Návrh!J451,-3)/$X$2</f>
        <v>-80</v>
      </c>
      <c r="J454" s="88" t="e">
        <f>+ROUND(Návrh!#REF!,-3)/$X$2</f>
        <v>#REF!</v>
      </c>
      <c r="K454" s="88">
        <f>+ROUND(Návrh!K451,-3)/$X$2</f>
        <v>-68</v>
      </c>
      <c r="L454" s="88">
        <f>+ROUND(Návrh!L451,-3)/$X$2</f>
        <v>-70</v>
      </c>
      <c r="M454" s="67"/>
    </row>
    <row r="455" spans="1:13" x14ac:dyDescent="0.25">
      <c r="A455" s="42" t="s">
        <v>1336</v>
      </c>
      <c r="B455" s="20" t="s">
        <v>1243</v>
      </c>
      <c r="C455" s="20" t="s">
        <v>920</v>
      </c>
      <c r="D455" s="20" t="s">
        <v>1245</v>
      </c>
      <c r="E455" s="373" t="s">
        <v>465</v>
      </c>
      <c r="F455" s="374"/>
      <c r="G455" s="88">
        <f>+ROUND(Návrh!H452,-3)/$X$2</f>
        <v>-812</v>
      </c>
      <c r="H455" s="88">
        <f>+ROUND(Návrh!I452,-3)/$X$2</f>
        <v>-826</v>
      </c>
      <c r="I455" s="88">
        <f>+ROUND(Návrh!J452,-3)/$X$2</f>
        <v>-1500</v>
      </c>
      <c r="J455" s="88" t="e">
        <f>+ROUND(Návrh!#REF!,-3)/$X$2</f>
        <v>#REF!</v>
      </c>
      <c r="K455" s="88">
        <f>+ROUND(Návrh!K452,-3)/$X$2</f>
        <v>-947</v>
      </c>
      <c r="L455" s="88">
        <f>+ROUND(Návrh!L452,-3)/$X$2</f>
        <v>-1510</v>
      </c>
      <c r="M455" s="67"/>
    </row>
    <row r="456" spans="1:13" x14ac:dyDescent="0.25">
      <c r="A456" s="42" t="s">
        <v>1337</v>
      </c>
      <c r="B456" s="20" t="s">
        <v>1243</v>
      </c>
      <c r="C456" s="20" t="s">
        <v>920</v>
      </c>
      <c r="D456" s="20" t="s">
        <v>1245</v>
      </c>
      <c r="E456" s="373" t="s">
        <v>466</v>
      </c>
      <c r="F456" s="374"/>
      <c r="G456" s="88">
        <f>+ROUND(Návrh!H453,-3)/$X$2</f>
        <v>-2194</v>
      </c>
      <c r="H456" s="88">
        <f>+ROUND(Návrh!I453,-3)/$X$2</f>
        <v>-1928</v>
      </c>
      <c r="I456" s="88">
        <f>+ROUND(Návrh!J453,-3)/$X$2</f>
        <v>-2100</v>
      </c>
      <c r="J456" s="88" t="e">
        <f>+ROUND(Návrh!#REF!,-3)/$X$2</f>
        <v>#REF!</v>
      </c>
      <c r="K456" s="88">
        <f>+ROUND(Návrh!K453,-3)/$X$2</f>
        <v>-1903</v>
      </c>
      <c r="L456" s="88">
        <f>+ROUND(Návrh!L453,-3)/$X$2</f>
        <v>-2112</v>
      </c>
      <c r="M456" s="67"/>
    </row>
    <row r="457" spans="1:13" x14ac:dyDescent="0.25">
      <c r="A457" s="42" t="s">
        <v>1338</v>
      </c>
      <c r="B457" s="20" t="s">
        <v>1243</v>
      </c>
      <c r="C457" s="20" t="s">
        <v>920</v>
      </c>
      <c r="D457" s="20" t="s">
        <v>1245</v>
      </c>
      <c r="E457" s="373" t="s">
        <v>467</v>
      </c>
      <c r="F457" s="374"/>
      <c r="G457" s="88">
        <f>+ROUND(Návrh!H454,-3)/$X$2</f>
        <v>-297</v>
      </c>
      <c r="H457" s="88">
        <f>+ROUND(Návrh!I454,-3)/$X$2</f>
        <v>-536</v>
      </c>
      <c r="I457" s="88">
        <f>+ROUND(Návrh!J454,-3)/$X$2</f>
        <v>-700</v>
      </c>
      <c r="J457" s="88" t="e">
        <f>+ROUND(Návrh!#REF!,-3)/$X$2</f>
        <v>#REF!</v>
      </c>
      <c r="K457" s="88">
        <f>+ROUND(Návrh!K454,-3)/$X$2</f>
        <v>-639</v>
      </c>
      <c r="L457" s="88">
        <f>+ROUND(Návrh!L454,-3)/$X$2</f>
        <v>-700</v>
      </c>
      <c r="M457" s="67"/>
    </row>
    <row r="458" spans="1:13" x14ac:dyDescent="0.25">
      <c r="A458" s="42" t="s">
        <v>1339</v>
      </c>
      <c r="B458" s="20" t="s">
        <v>1243</v>
      </c>
      <c r="C458" s="20" t="s">
        <v>920</v>
      </c>
      <c r="D458" s="20" t="s">
        <v>1245</v>
      </c>
      <c r="E458" s="373" t="s">
        <v>468</v>
      </c>
      <c r="F458" s="374"/>
      <c r="G458" s="88">
        <f>+ROUND(Návrh!H455,-3)/$X$2</f>
        <v>-302</v>
      </c>
      <c r="H458" s="88">
        <f>+ROUND(Návrh!I455,-3)/$X$2</f>
        <v>-438</v>
      </c>
      <c r="I458" s="88">
        <f>+ROUND(Návrh!J455,-3)/$X$2</f>
        <v>-330</v>
      </c>
      <c r="J458" s="88" t="e">
        <f>+ROUND(Návrh!#REF!,-3)/$X$2</f>
        <v>#REF!</v>
      </c>
      <c r="K458" s="88">
        <f>+ROUND(Návrh!K455,-3)/$X$2</f>
        <v>-862</v>
      </c>
      <c r="L458" s="88">
        <f>+ROUND(Návrh!L455,-3)/$X$2</f>
        <v>-330</v>
      </c>
      <c r="M458" s="67"/>
    </row>
    <row r="459" spans="1:13" x14ac:dyDescent="0.25">
      <c r="A459" s="42" t="s">
        <v>1340</v>
      </c>
      <c r="B459" s="14"/>
      <c r="C459" s="13"/>
      <c r="D459" s="13"/>
      <c r="E459" s="373" t="s">
        <v>469</v>
      </c>
      <c r="F459" s="374"/>
      <c r="G459" s="88">
        <f>+ROUND(Návrh!H456,-3)/$X$2</f>
        <v>-60</v>
      </c>
      <c r="H459" s="88">
        <f>+ROUND(Návrh!I456,-3)/$X$2</f>
        <v>-65</v>
      </c>
      <c r="I459" s="88">
        <f>+ROUND(Návrh!J456,-3)/$X$2</f>
        <v>0</v>
      </c>
      <c r="J459" s="88" t="e">
        <f>+ROUND(Návrh!#REF!,-3)/$X$2</f>
        <v>#REF!</v>
      </c>
      <c r="K459" s="88">
        <f>+ROUND(Návrh!K456,-3)/$X$2</f>
        <v>-65</v>
      </c>
      <c r="L459" s="88">
        <f>+ROUND(Návrh!L456,-3)/$X$2</f>
        <v>0</v>
      </c>
      <c r="M459" s="67"/>
    </row>
    <row r="460" spans="1:13" x14ac:dyDescent="0.25">
      <c r="A460" s="42" t="s">
        <v>1341</v>
      </c>
      <c r="B460" s="20" t="s">
        <v>916</v>
      </c>
      <c r="C460" s="20" t="s">
        <v>923</v>
      </c>
      <c r="D460" s="20" t="s">
        <v>917</v>
      </c>
      <c r="E460" s="373" t="s">
        <v>470</v>
      </c>
      <c r="F460" s="374"/>
      <c r="G460" s="88">
        <f>+ROUND(Návrh!H457,-3)/$X$2</f>
        <v>-187</v>
      </c>
      <c r="H460" s="88">
        <f>+ROUND(Návrh!I457,-3)/$X$2</f>
        <v>-181</v>
      </c>
      <c r="I460" s="88">
        <f>+ROUND(Návrh!J457,-3)/$X$2</f>
        <v>0</v>
      </c>
      <c r="J460" s="88" t="e">
        <f>+ROUND(Návrh!#REF!,-3)/$X$2</f>
        <v>#REF!</v>
      </c>
      <c r="K460" s="88">
        <f>+ROUND(Návrh!K457,-3)/$X$2</f>
        <v>-227</v>
      </c>
      <c r="L460" s="88">
        <f>+ROUND(Návrh!L457,-3)/$X$2</f>
        <v>0</v>
      </c>
      <c r="M460" s="67"/>
    </row>
    <row r="461" spans="1:13" x14ac:dyDescent="0.25">
      <c r="A461" s="42" t="s">
        <v>1342</v>
      </c>
      <c r="B461" s="14"/>
      <c r="C461" s="13"/>
      <c r="D461" s="13"/>
      <c r="E461" s="373" t="s">
        <v>471</v>
      </c>
      <c r="F461" s="374"/>
      <c r="G461" s="88">
        <f>+ROUND(Návrh!H458,-3)/$X$2</f>
        <v>-900</v>
      </c>
      <c r="H461" s="88">
        <f>+ROUND(Návrh!I458,-3)/$X$2</f>
        <v>-1159</v>
      </c>
      <c r="I461" s="88">
        <f>+ROUND(Návrh!J458,-3)/$X$2</f>
        <v>0</v>
      </c>
      <c r="J461" s="88" t="e">
        <f>+ROUND(Návrh!#REF!,-3)/$X$2</f>
        <v>#REF!</v>
      </c>
      <c r="K461" s="88">
        <f>+ROUND(Návrh!K458,-3)/$X$2</f>
        <v>-10</v>
      </c>
      <c r="L461" s="88">
        <f>+ROUND(Návrh!L458,-3)/$X$2</f>
        <v>0</v>
      </c>
      <c r="M461" s="67"/>
    </row>
    <row r="462" spans="1:13" x14ac:dyDescent="0.25">
      <c r="A462" s="42" t="s">
        <v>1343</v>
      </c>
      <c r="B462" s="27" t="s">
        <v>922</v>
      </c>
      <c r="C462" s="28" t="s">
        <v>923</v>
      </c>
      <c r="D462" s="28" t="s">
        <v>1249</v>
      </c>
      <c r="E462" s="373" t="s">
        <v>472</v>
      </c>
      <c r="F462" s="374"/>
      <c r="G462" s="88">
        <f>+ROUND(Návrh!H459,-3)/$X$2</f>
        <v>-768</v>
      </c>
      <c r="H462" s="88">
        <f>+ROUND(Návrh!I459,-3)/$X$2</f>
        <v>-664</v>
      </c>
      <c r="I462" s="88">
        <f>+ROUND(Návrh!J459,-3)/$X$2</f>
        <v>-741</v>
      </c>
      <c r="J462" s="88" t="e">
        <f>+ROUND(Návrh!#REF!,-3)/$X$2</f>
        <v>#REF!</v>
      </c>
      <c r="K462" s="88">
        <f>+ROUND(Návrh!K459,-3)/$X$2</f>
        <v>-711</v>
      </c>
      <c r="L462" s="88">
        <f>+ROUND(Návrh!L459,-3)/$X$2</f>
        <v>-710</v>
      </c>
      <c r="M462" s="67"/>
    </row>
    <row r="463" spans="1:13" x14ac:dyDescent="0.25">
      <c r="A463" s="42" t="s">
        <v>1344</v>
      </c>
      <c r="B463" s="14"/>
      <c r="C463" s="13"/>
      <c r="D463" s="13"/>
      <c r="E463" s="373" t="s">
        <v>473</v>
      </c>
      <c r="F463" s="374"/>
      <c r="G463" s="88">
        <f>+ROUND(Návrh!H460,-3)/$X$2</f>
        <v>-61</v>
      </c>
      <c r="H463" s="88">
        <f>+ROUND(Návrh!I460,-3)/$X$2</f>
        <v>-113</v>
      </c>
      <c r="I463" s="88">
        <f>+ROUND(Návrh!J460,-3)/$X$2</f>
        <v>0</v>
      </c>
      <c r="J463" s="88" t="e">
        <f>+ROUND(Návrh!#REF!,-3)/$X$2</f>
        <v>#REF!</v>
      </c>
      <c r="K463" s="88">
        <f>+ROUND(Návrh!K460,-3)/$X$2</f>
        <v>-111</v>
      </c>
      <c r="L463" s="88">
        <f>+ROUND(Návrh!L460,-3)/$X$2</f>
        <v>0</v>
      </c>
      <c r="M463" s="67"/>
    </row>
    <row r="464" spans="1:13" x14ac:dyDescent="0.25">
      <c r="A464" s="26" t="s">
        <v>1345</v>
      </c>
      <c r="B464" s="26"/>
      <c r="C464" s="23"/>
      <c r="D464" s="23"/>
      <c r="E464" s="379" t="s">
        <v>474</v>
      </c>
      <c r="F464" s="380"/>
      <c r="G464" s="92">
        <f>+ROUND(Návrh!H461,-3)/$X$2</f>
        <v>-6135</v>
      </c>
      <c r="H464" s="92">
        <f>+ROUND(Návrh!I461,-3)/$X$2</f>
        <v>-8995</v>
      </c>
      <c r="I464" s="92">
        <f>+ROUND(Návrh!J461,-3)/$X$2</f>
        <v>-9017</v>
      </c>
      <c r="J464" s="92" t="e">
        <f>+ROUND(Návrh!#REF!,-3)/$X$2</f>
        <v>#REF!</v>
      </c>
      <c r="K464" s="92">
        <f>+ROUND(Návrh!K461,-3)/$X$2</f>
        <v>-8987</v>
      </c>
      <c r="L464" s="92">
        <f>+ROUND(Návrh!L461,-3)/$X$2</f>
        <v>-11237</v>
      </c>
      <c r="M464" s="67"/>
    </row>
    <row r="465" spans="1:13" x14ac:dyDescent="0.25">
      <c r="A465" s="42" t="s">
        <v>1346</v>
      </c>
      <c r="B465" s="27" t="s">
        <v>916</v>
      </c>
      <c r="C465" s="28" t="s">
        <v>919</v>
      </c>
      <c r="D465" s="28" t="s">
        <v>917</v>
      </c>
      <c r="E465" s="373" t="s">
        <v>475</v>
      </c>
      <c r="F465" s="374"/>
      <c r="G465" s="88">
        <f>+ROUND(Návrh!H462,-3)/$X$2</f>
        <v>-1608</v>
      </c>
      <c r="H465" s="88">
        <f>+ROUND(Návrh!I462,-3)/$X$2</f>
        <v>-2283</v>
      </c>
      <c r="I465" s="88">
        <f>+ROUND(Návrh!J462,-3)/$X$2</f>
        <v>-2283</v>
      </c>
      <c r="J465" s="88" t="e">
        <f>+ROUND(Návrh!#REF!,-3)/$X$2</f>
        <v>#REF!</v>
      </c>
      <c r="K465" s="88">
        <f>+ROUND(Návrh!K462,-3)/$X$2</f>
        <v>-2283</v>
      </c>
      <c r="L465" s="88">
        <f>+ROUND(Návrh!L462,-3)/$X$2</f>
        <v>-2913</v>
      </c>
      <c r="M465" s="67"/>
    </row>
    <row r="466" spans="1:13" x14ac:dyDescent="0.25">
      <c r="A466" s="42" t="s">
        <v>1347</v>
      </c>
      <c r="B466" s="27" t="s">
        <v>916</v>
      </c>
      <c r="C466" s="28" t="s">
        <v>919</v>
      </c>
      <c r="D466" s="28" t="s">
        <v>917</v>
      </c>
      <c r="E466" s="373" t="s">
        <v>476</v>
      </c>
      <c r="F466" s="374"/>
      <c r="G466" s="88">
        <f>+ROUND(Návrh!H463,-3)/$X$2</f>
        <v>-3750</v>
      </c>
      <c r="H466" s="88">
        <f>+ROUND(Návrh!I463,-3)/$X$2</f>
        <v>-5900</v>
      </c>
      <c r="I466" s="88">
        <f>+ROUND(Návrh!J463,-3)/$X$2</f>
        <v>-5900</v>
      </c>
      <c r="J466" s="88" t="e">
        <f>+ROUND(Návrh!#REF!,-3)/$X$2</f>
        <v>#REF!</v>
      </c>
      <c r="K466" s="88">
        <f>+ROUND(Návrh!K463,-3)/$X$2</f>
        <v>-5900</v>
      </c>
      <c r="L466" s="88">
        <f>+ROUND(Návrh!L463,-3)/$X$2</f>
        <v>-7400</v>
      </c>
      <c r="M466" s="67"/>
    </row>
    <row r="467" spans="1:13" x14ac:dyDescent="0.25">
      <c r="A467" s="42" t="s">
        <v>1348</v>
      </c>
      <c r="B467" s="20" t="s">
        <v>916</v>
      </c>
      <c r="C467" s="28" t="s">
        <v>919</v>
      </c>
      <c r="D467" s="20" t="s">
        <v>918</v>
      </c>
      <c r="E467" s="373" t="s">
        <v>477</v>
      </c>
      <c r="F467" s="374"/>
      <c r="G467" s="88">
        <f>+ROUND(Návrh!H464,-3)/$X$2</f>
        <v>-709</v>
      </c>
      <c r="H467" s="88">
        <f>+ROUND(Návrh!I464,-3)/$X$2</f>
        <v>-809</v>
      </c>
      <c r="I467" s="88">
        <f>+ROUND(Návrh!J464,-3)/$X$2</f>
        <v>-810</v>
      </c>
      <c r="J467" s="88" t="e">
        <f>+ROUND(Návrh!#REF!,-3)/$X$2</f>
        <v>#REF!</v>
      </c>
      <c r="K467" s="88">
        <f>+ROUND(Návrh!K464,-3)/$X$2</f>
        <v>-780</v>
      </c>
      <c r="L467" s="88">
        <f>+ROUND(Návrh!L464,-3)/$X$2</f>
        <v>-900</v>
      </c>
      <c r="M467" s="67"/>
    </row>
    <row r="468" spans="1:13" x14ac:dyDescent="0.25">
      <c r="A468" s="42" t="s">
        <v>1349</v>
      </c>
      <c r="B468" s="20" t="s">
        <v>1432</v>
      </c>
      <c r="C468" s="20" t="s">
        <v>920</v>
      </c>
      <c r="D468" s="20" t="s">
        <v>1245</v>
      </c>
      <c r="E468" s="373" t="s">
        <v>478</v>
      </c>
      <c r="F468" s="374"/>
      <c r="G468" s="88">
        <f>+ROUND(Návrh!H465,-3)/$X$2</f>
        <v>-69</v>
      </c>
      <c r="H468" s="88">
        <f>+ROUND(Návrh!I465,-3)/$X$2</f>
        <v>-4</v>
      </c>
      <c r="I468" s="88">
        <f>+ROUND(Návrh!J465,-3)/$X$2</f>
        <v>-24</v>
      </c>
      <c r="J468" s="88" t="e">
        <f>+ROUND(Návrh!#REF!,-3)/$X$2</f>
        <v>#REF!</v>
      </c>
      <c r="K468" s="88">
        <f>+ROUND(Návrh!K465,-3)/$X$2</f>
        <v>-24</v>
      </c>
      <c r="L468" s="88">
        <f>+ROUND(Návrh!L465,-3)/$X$2</f>
        <v>-24</v>
      </c>
      <c r="M468" s="67"/>
    </row>
    <row r="469" spans="1:13" x14ac:dyDescent="0.25">
      <c r="A469" s="26" t="s">
        <v>1350</v>
      </c>
      <c r="B469" s="26"/>
      <c r="C469" s="23"/>
      <c r="D469" s="23"/>
      <c r="E469" s="379" t="s">
        <v>479</v>
      </c>
      <c r="F469" s="380"/>
      <c r="G469" s="92">
        <f>+ROUND(Návrh!H466,-3)/$X$2</f>
        <v>-41</v>
      </c>
      <c r="H469" s="92">
        <f>+ROUND(Návrh!I466,-3)/$X$2</f>
        <v>-86</v>
      </c>
      <c r="I469" s="92">
        <f>+ROUND(Návrh!J466,-3)/$X$2</f>
        <v>-45</v>
      </c>
      <c r="J469" s="92" t="e">
        <f>+ROUND(Návrh!#REF!,-3)/$X$2</f>
        <v>#REF!</v>
      </c>
      <c r="K469" s="92">
        <f>+ROUND(Návrh!K466,-3)/$X$2</f>
        <v>-86</v>
      </c>
      <c r="L469" s="92">
        <f>+ROUND(Návrh!L466,-3)/$X$2</f>
        <v>-44</v>
      </c>
      <c r="M469" s="67"/>
    </row>
    <row r="470" spans="1:13" x14ac:dyDescent="0.25">
      <c r="A470" s="42" t="s">
        <v>1351</v>
      </c>
      <c r="B470" s="27" t="s">
        <v>916</v>
      </c>
      <c r="C470" s="28" t="s">
        <v>923</v>
      </c>
      <c r="D470" s="28" t="s">
        <v>917</v>
      </c>
      <c r="E470" s="373" t="s">
        <v>480</v>
      </c>
      <c r="F470" s="374"/>
      <c r="G470" s="88">
        <f>+ROUND(Návrh!H467,-3)/$X$2</f>
        <v>-41</v>
      </c>
      <c r="H470" s="88">
        <f>+ROUND(Návrh!I467,-3)/$X$2</f>
        <v>-86</v>
      </c>
      <c r="I470" s="88">
        <f>+ROUND(Návrh!J467,-3)/$X$2</f>
        <v>-45</v>
      </c>
      <c r="J470" s="88" t="e">
        <f>+ROUND(Návrh!#REF!,-3)/$X$2</f>
        <v>#REF!</v>
      </c>
      <c r="K470" s="88">
        <f>+ROUND(Návrh!K467,-3)/$X$2</f>
        <v>-86</v>
      </c>
      <c r="L470" s="88">
        <f>+ROUND(Návrh!L467,-3)/$X$2</f>
        <v>-44</v>
      </c>
      <c r="M470" s="67"/>
    </row>
    <row r="471" spans="1:13" x14ac:dyDescent="0.25">
      <c r="A471" s="26" t="s">
        <v>1352</v>
      </c>
      <c r="B471" s="26"/>
      <c r="C471" s="23"/>
      <c r="D471" s="23"/>
      <c r="E471" s="379" t="s">
        <v>481</v>
      </c>
      <c r="F471" s="380"/>
      <c r="G471" s="92">
        <f>+ROUND(Návrh!H468,-3)/$X$2</f>
        <v>-523</v>
      </c>
      <c r="H471" s="92">
        <f>+ROUND(Návrh!I468,-3)/$X$2</f>
        <v>-398</v>
      </c>
      <c r="I471" s="92">
        <f>+ROUND(Návrh!J468,-3)/$X$2</f>
        <v>-500</v>
      </c>
      <c r="J471" s="92" t="e">
        <f>+ROUND(Návrh!#REF!,-3)/$X$2</f>
        <v>#REF!</v>
      </c>
      <c r="K471" s="92">
        <f>+ROUND(Návrh!K468,-3)/$X$2</f>
        <v>-374</v>
      </c>
      <c r="L471" s="92">
        <f>+ROUND(Návrh!L468,-3)/$X$2</f>
        <v>-397</v>
      </c>
      <c r="M471" s="67"/>
    </row>
    <row r="472" spans="1:13" x14ac:dyDescent="0.25">
      <c r="A472" s="42" t="s">
        <v>1353</v>
      </c>
      <c r="B472" s="20" t="s">
        <v>922</v>
      </c>
      <c r="C472" s="20" t="s">
        <v>919</v>
      </c>
      <c r="D472" s="20" t="s">
        <v>924</v>
      </c>
      <c r="E472" s="373" t="s">
        <v>482</v>
      </c>
      <c r="F472" s="374"/>
      <c r="G472" s="88">
        <f>+ROUND(Návrh!H469,-3)/$X$2</f>
        <v>-523</v>
      </c>
      <c r="H472" s="88">
        <f>+ROUND(Návrh!I469,-3)/$X$2</f>
        <v>-398</v>
      </c>
      <c r="I472" s="88">
        <f>+ROUND(Návrh!J469,-3)/$X$2</f>
        <v>-500</v>
      </c>
      <c r="J472" s="88" t="e">
        <f>+ROUND(Návrh!#REF!,-3)/$X$2</f>
        <v>#REF!</v>
      </c>
      <c r="K472" s="88">
        <f>+ROUND(Návrh!K469,-3)/$X$2</f>
        <v>-374</v>
      </c>
      <c r="L472" s="88">
        <f>+ROUND(Návrh!L469,-3)/$X$2</f>
        <v>-397</v>
      </c>
      <c r="M472" s="67"/>
    </row>
    <row r="473" spans="1:13" x14ac:dyDescent="0.25">
      <c r="A473" s="26" t="s">
        <v>1354</v>
      </c>
      <c r="B473" s="26"/>
      <c r="C473" s="23"/>
      <c r="D473" s="23"/>
      <c r="E473" s="379" t="s">
        <v>483</v>
      </c>
      <c r="F473" s="380"/>
      <c r="G473" s="92">
        <f>+ROUND(Návrh!H470,-3)/$X$2</f>
        <v>-283</v>
      </c>
      <c r="H473" s="92">
        <f>+ROUND(Návrh!I470,-3)/$X$2</f>
        <v>-293</v>
      </c>
      <c r="I473" s="92">
        <f>+ROUND(Návrh!J470,-3)/$X$2</f>
        <v>-280</v>
      </c>
      <c r="J473" s="92" t="e">
        <f>+ROUND(Návrh!#REF!,-3)/$X$2</f>
        <v>#REF!</v>
      </c>
      <c r="K473" s="92">
        <f>+ROUND(Návrh!K470,-3)/$X$2</f>
        <v>-283</v>
      </c>
      <c r="L473" s="92">
        <f>+ROUND(Návrh!L470,-3)/$X$2</f>
        <v>-290</v>
      </c>
      <c r="M473" s="67"/>
    </row>
    <row r="474" spans="1:13" x14ac:dyDescent="0.25">
      <c r="A474" s="42" t="s">
        <v>1355</v>
      </c>
      <c r="B474" s="27" t="s">
        <v>916</v>
      </c>
      <c r="C474" s="28" t="s">
        <v>919</v>
      </c>
      <c r="D474" s="28" t="s">
        <v>917</v>
      </c>
      <c r="E474" s="373" t="s">
        <v>484</v>
      </c>
      <c r="F474" s="374"/>
      <c r="G474" s="88">
        <f>+ROUND(Návrh!H471,-3)/$X$2</f>
        <v>-278</v>
      </c>
      <c r="H474" s="88">
        <f>+ROUND(Návrh!I471,-3)/$X$2</f>
        <v>-293</v>
      </c>
      <c r="I474" s="88">
        <f>+ROUND(Návrh!J471,-3)/$X$2</f>
        <v>-280</v>
      </c>
      <c r="J474" s="88" t="e">
        <f>+ROUND(Návrh!#REF!,-3)/$X$2</f>
        <v>#REF!</v>
      </c>
      <c r="K474" s="88">
        <f>+ROUND(Návrh!K471,-3)/$X$2</f>
        <v>-283</v>
      </c>
      <c r="L474" s="88">
        <f>+ROUND(Návrh!L471,-3)/$X$2</f>
        <v>-290</v>
      </c>
      <c r="M474" s="67"/>
    </row>
    <row r="475" spans="1:13" x14ac:dyDescent="0.25">
      <c r="A475" s="42" t="s">
        <v>1356</v>
      </c>
      <c r="B475" s="27" t="s">
        <v>916</v>
      </c>
      <c r="C475" s="28" t="s">
        <v>919</v>
      </c>
      <c r="D475" s="28" t="s">
        <v>917</v>
      </c>
      <c r="E475" s="373" t="s">
        <v>1685</v>
      </c>
      <c r="F475" s="374"/>
      <c r="G475" s="88">
        <f>+ROUND(Návrh!H472,-3)/$X$2</f>
        <v>-5</v>
      </c>
      <c r="H475" s="88">
        <f>+ROUND(Návrh!I472,-3)/$X$2</f>
        <v>0</v>
      </c>
      <c r="I475" s="88">
        <f>+ROUND(Návrh!J472,-3)/$X$2</f>
        <v>0</v>
      </c>
      <c r="J475" s="88" t="e">
        <f>+ROUND(Návrh!#REF!,-3)/$X$2</f>
        <v>#REF!</v>
      </c>
      <c r="K475" s="88">
        <f>+ROUND(Návrh!K472,-3)/$X$2</f>
        <v>0</v>
      </c>
      <c r="L475" s="88">
        <f>+ROUND(Návrh!L472,-3)/$X$2</f>
        <v>0</v>
      </c>
      <c r="M475" s="67"/>
    </row>
    <row r="476" spans="1:13" x14ac:dyDescent="0.25">
      <c r="A476" s="26" t="s">
        <v>1357</v>
      </c>
      <c r="B476" s="26"/>
      <c r="C476" s="23"/>
      <c r="D476" s="23"/>
      <c r="E476" s="379" t="s">
        <v>485</v>
      </c>
      <c r="F476" s="380"/>
      <c r="G476" s="92">
        <f>+ROUND(Návrh!H473,-3)/$X$2</f>
        <v>-1045</v>
      </c>
      <c r="H476" s="92">
        <f>+ROUND(Návrh!I473,-3)/$X$2</f>
        <v>-983</v>
      </c>
      <c r="I476" s="92">
        <f>+ROUND(Návrh!J473,-3)/$X$2</f>
        <v>-1150</v>
      </c>
      <c r="J476" s="92" t="e">
        <f>+ROUND(Návrh!#REF!,-3)/$X$2</f>
        <v>#REF!</v>
      </c>
      <c r="K476" s="92">
        <f>+ROUND(Návrh!K473,-3)/$X$2</f>
        <v>-1403</v>
      </c>
      <c r="L476" s="92">
        <f>+ROUND(Návrh!L473,-3)/$X$2</f>
        <v>-1290</v>
      </c>
      <c r="M476" s="67"/>
    </row>
    <row r="477" spans="1:13" x14ac:dyDescent="0.25">
      <c r="A477" s="42" t="s">
        <v>1358</v>
      </c>
      <c r="B477" s="27" t="s">
        <v>916</v>
      </c>
      <c r="C477" s="28" t="s">
        <v>919</v>
      </c>
      <c r="D477" s="28" t="s">
        <v>917</v>
      </c>
      <c r="E477" s="373" t="s">
        <v>486</v>
      </c>
      <c r="F477" s="374"/>
      <c r="G477" s="88">
        <f>+ROUND(Návrh!H474,-3)/$X$2</f>
        <v>-1045</v>
      </c>
      <c r="H477" s="88">
        <f>+ROUND(Návrh!I474,-3)/$X$2</f>
        <v>-983</v>
      </c>
      <c r="I477" s="88">
        <f>+ROUND(Návrh!J474,-3)/$X$2</f>
        <v>-1150</v>
      </c>
      <c r="J477" s="88" t="e">
        <f>+ROUND(Návrh!#REF!,-3)/$X$2</f>
        <v>#REF!</v>
      </c>
      <c r="K477" s="88">
        <f>+ROUND(Návrh!K474,-3)/$X$2</f>
        <v>-1403</v>
      </c>
      <c r="L477" s="88">
        <f>+ROUND(Návrh!L474,-3)/$X$2</f>
        <v>-1290</v>
      </c>
      <c r="M477" s="67"/>
    </row>
    <row r="478" spans="1:13" x14ac:dyDescent="0.25">
      <c r="A478" s="26" t="s">
        <v>1359</v>
      </c>
      <c r="B478" s="26"/>
      <c r="C478" s="23"/>
      <c r="D478" s="23"/>
      <c r="E478" s="379" t="s">
        <v>487</v>
      </c>
      <c r="F478" s="380"/>
      <c r="G478" s="92">
        <f>+ROUND(Návrh!H475,-3)/$X$2</f>
        <v>0</v>
      </c>
      <c r="H478" s="92">
        <f>+ROUND(Návrh!I475,-3)/$X$2</f>
        <v>0</v>
      </c>
      <c r="I478" s="92">
        <f>+ROUND(Návrh!J475,-3)/$X$2</f>
        <v>0</v>
      </c>
      <c r="J478" s="92" t="e">
        <f>+ROUND(Návrh!#REF!,-3)/$X$2</f>
        <v>#REF!</v>
      </c>
      <c r="K478" s="92">
        <f>+ROUND(Návrh!K475,-3)/$X$2</f>
        <v>0</v>
      </c>
      <c r="L478" s="92">
        <f>+ROUND(Návrh!L475,-3)/$X$2</f>
        <v>0</v>
      </c>
      <c r="M478" s="67"/>
    </row>
    <row r="479" spans="1:13" x14ac:dyDescent="0.25">
      <c r="A479" s="42" t="s">
        <v>1360</v>
      </c>
      <c r="B479" s="14"/>
      <c r="C479" s="13"/>
      <c r="D479" s="13"/>
      <c r="E479" s="373" t="s">
        <v>488</v>
      </c>
      <c r="F479" s="374"/>
      <c r="G479" s="88">
        <f>+ROUND(Návrh!H476,-3)/$X$2</f>
        <v>0</v>
      </c>
      <c r="H479" s="88">
        <f>+ROUND(Návrh!I476,-3)/$X$2</f>
        <v>0</v>
      </c>
      <c r="I479" s="88">
        <f>+ROUND(Návrh!J476,-3)/$X$2</f>
        <v>0</v>
      </c>
      <c r="J479" s="88" t="e">
        <f>+ROUND(Návrh!#REF!,-3)/$X$2</f>
        <v>#REF!</v>
      </c>
      <c r="K479" s="88">
        <f>+ROUND(Návrh!K476,-3)/$X$2</f>
        <v>0</v>
      </c>
      <c r="L479" s="88">
        <f>+ROUND(Návrh!L476,-3)/$X$2</f>
        <v>0</v>
      </c>
      <c r="M479" s="67"/>
    </row>
    <row r="480" spans="1:13" x14ac:dyDescent="0.25">
      <c r="A480" s="26" t="s">
        <v>1361</v>
      </c>
      <c r="B480" s="26"/>
      <c r="C480" s="23"/>
      <c r="D480" s="23"/>
      <c r="E480" s="379" t="s">
        <v>489</v>
      </c>
      <c r="F480" s="380"/>
      <c r="G480" s="92">
        <f>+ROUND(Návrh!H477,-3)/$X$2</f>
        <v>-15</v>
      </c>
      <c r="H480" s="92">
        <f>+ROUND(Návrh!I477,-3)/$X$2</f>
        <v>-19</v>
      </c>
      <c r="I480" s="92">
        <f>+ROUND(Návrh!J477,-3)/$X$2</f>
        <v>-50</v>
      </c>
      <c r="J480" s="92" t="e">
        <f>+ROUND(Návrh!#REF!,-3)/$X$2</f>
        <v>#REF!</v>
      </c>
      <c r="K480" s="92">
        <f>+ROUND(Návrh!K477,-3)/$X$2</f>
        <v>-11</v>
      </c>
      <c r="L480" s="92">
        <f>+ROUND(Návrh!L477,-3)/$X$2</f>
        <v>-210</v>
      </c>
      <c r="M480" s="67"/>
    </row>
    <row r="481" spans="1:13" x14ac:dyDescent="0.25">
      <c r="A481" s="42" t="s">
        <v>1362</v>
      </c>
      <c r="B481" s="20" t="s">
        <v>1243</v>
      </c>
      <c r="C481" s="20" t="s">
        <v>920</v>
      </c>
      <c r="D481" s="20" t="s">
        <v>1245</v>
      </c>
      <c r="E481" s="373" t="s">
        <v>490</v>
      </c>
      <c r="F481" s="374"/>
      <c r="G481" s="88">
        <f>+ROUND(Návrh!H478,-3)/$X$2</f>
        <v>-15</v>
      </c>
      <c r="H481" s="88">
        <f>+ROUND(Návrh!I478,-3)/$X$2</f>
        <v>-19</v>
      </c>
      <c r="I481" s="88">
        <f>+ROUND(Návrh!J478,-3)/$X$2</f>
        <v>-50</v>
      </c>
      <c r="J481" s="88" t="e">
        <f>+ROUND(Návrh!#REF!,-3)/$X$2</f>
        <v>#REF!</v>
      </c>
      <c r="K481" s="88">
        <f>+ROUND(Návrh!K478,-3)/$X$2</f>
        <v>-11</v>
      </c>
      <c r="L481" s="88">
        <f>+ROUND(Návrh!L478,-3)/$X$2</f>
        <v>-210</v>
      </c>
      <c r="M481" s="67"/>
    </row>
    <row r="482" spans="1:13" x14ac:dyDescent="0.25">
      <c r="A482" s="26" t="s">
        <v>1363</v>
      </c>
      <c r="B482" s="26"/>
      <c r="C482" s="23"/>
      <c r="D482" s="23"/>
      <c r="E482" s="379" t="s">
        <v>491</v>
      </c>
      <c r="F482" s="380"/>
      <c r="G482" s="92">
        <f>+ROUND(Návrh!H479,-3)/$X$2</f>
        <v>-816</v>
      </c>
      <c r="H482" s="92">
        <f>+ROUND(Návrh!I479,-3)/$X$2</f>
        <v>-1021</v>
      </c>
      <c r="I482" s="92">
        <f>+ROUND(Návrh!J479,-3)/$X$2</f>
        <v>-700</v>
      </c>
      <c r="J482" s="92" t="e">
        <f>+ROUND(Návrh!#REF!,-3)/$X$2</f>
        <v>#REF!</v>
      </c>
      <c r="K482" s="92">
        <f>+ROUND(Návrh!K479,-3)/$X$2</f>
        <v>-890</v>
      </c>
      <c r="L482" s="92">
        <f>+ROUND(Návrh!L479,-3)/$X$2</f>
        <v>-700</v>
      </c>
      <c r="M482" s="67"/>
    </row>
    <row r="483" spans="1:13" x14ac:dyDescent="0.25">
      <c r="A483" s="42" t="s">
        <v>1364</v>
      </c>
      <c r="B483" s="20" t="s">
        <v>1243</v>
      </c>
      <c r="C483" s="20" t="s">
        <v>920</v>
      </c>
      <c r="D483" s="20" t="s">
        <v>1245</v>
      </c>
      <c r="E483" s="373" t="s">
        <v>492</v>
      </c>
      <c r="F483" s="374"/>
      <c r="G483" s="88">
        <f>+ROUND(Návrh!H480,-3)/$X$2</f>
        <v>-816</v>
      </c>
      <c r="H483" s="88">
        <f>+ROUND(Návrh!I480,-3)/$X$2</f>
        <v>-1021</v>
      </c>
      <c r="I483" s="88">
        <f>+ROUND(Návrh!J480,-3)/$X$2</f>
        <v>-700</v>
      </c>
      <c r="J483" s="88" t="e">
        <f>+ROUND(Návrh!#REF!,-3)/$X$2</f>
        <v>#REF!</v>
      </c>
      <c r="K483" s="88">
        <f>+ROUND(Návrh!K480,-3)/$X$2</f>
        <v>-890</v>
      </c>
      <c r="L483" s="88">
        <f>+ROUND(Návrh!L480,-3)/$X$2</f>
        <v>-700</v>
      </c>
      <c r="M483" s="67"/>
    </row>
    <row r="484" spans="1:13" x14ac:dyDescent="0.25">
      <c r="A484" s="26" t="s">
        <v>1365</v>
      </c>
      <c r="B484" s="26"/>
      <c r="C484" s="23"/>
      <c r="D484" s="23"/>
      <c r="E484" s="379" t="s">
        <v>493</v>
      </c>
      <c r="F484" s="380"/>
      <c r="G484" s="92">
        <f>+ROUND(Návrh!H481,-3)/$X$2</f>
        <v>-482</v>
      </c>
      <c r="H484" s="92">
        <f>+ROUND(Návrh!I481,-3)/$X$2</f>
        <v>-517</v>
      </c>
      <c r="I484" s="92">
        <f>+ROUND(Návrh!J481,-3)/$X$2</f>
        <v>-200</v>
      </c>
      <c r="J484" s="92" t="e">
        <f>+ROUND(Návrh!#REF!,-3)/$X$2</f>
        <v>#REF!</v>
      </c>
      <c r="K484" s="92">
        <f>+ROUND(Návrh!K481,-3)/$X$2</f>
        <v>-498</v>
      </c>
      <c r="L484" s="92">
        <f>+ROUND(Návrh!L481,-3)/$X$2</f>
        <v>-200</v>
      </c>
      <c r="M484" s="67"/>
    </row>
    <row r="485" spans="1:13" x14ac:dyDescent="0.25">
      <c r="A485" s="42" t="s">
        <v>1366</v>
      </c>
      <c r="B485" s="20" t="s">
        <v>1243</v>
      </c>
      <c r="C485" s="20" t="s">
        <v>920</v>
      </c>
      <c r="D485" s="20" t="s">
        <v>1245</v>
      </c>
      <c r="E485" s="373" t="s">
        <v>494</v>
      </c>
      <c r="F485" s="374"/>
      <c r="G485" s="88">
        <f>+ROUND(Návrh!H482,-3)/$X$2</f>
        <v>-482</v>
      </c>
      <c r="H485" s="88">
        <f>+ROUND(Návrh!I482,-3)/$X$2</f>
        <v>-517</v>
      </c>
      <c r="I485" s="88">
        <f>+ROUND(Návrh!J482,-3)/$X$2</f>
        <v>-200</v>
      </c>
      <c r="J485" s="88" t="e">
        <f>+ROUND(Návrh!#REF!,-3)/$X$2</f>
        <v>#REF!</v>
      </c>
      <c r="K485" s="88">
        <f>+ROUND(Návrh!K482,-3)/$X$2</f>
        <v>-498</v>
      </c>
      <c r="L485" s="88">
        <f>+ROUND(Návrh!L482,-3)/$X$2</f>
        <v>-200</v>
      </c>
      <c r="M485" s="67"/>
    </row>
    <row r="486" spans="1:13" x14ac:dyDescent="0.25">
      <c r="A486" s="26" t="s">
        <v>1367</v>
      </c>
      <c r="B486" s="26"/>
      <c r="C486" s="23"/>
      <c r="D486" s="23"/>
      <c r="E486" s="379" t="s">
        <v>495</v>
      </c>
      <c r="F486" s="380"/>
      <c r="G486" s="92">
        <f>+ROUND(Návrh!H483,-3)/$X$2</f>
        <v>0</v>
      </c>
      <c r="H486" s="92">
        <f>+ROUND(Návrh!I483,-3)/$X$2</f>
        <v>0</v>
      </c>
      <c r="I486" s="92">
        <f>+ROUND(Návrh!J483,-3)/$X$2</f>
        <v>0</v>
      </c>
      <c r="J486" s="92" t="e">
        <f>+ROUND(Návrh!#REF!,-3)/$X$2</f>
        <v>#REF!</v>
      </c>
      <c r="K486" s="92">
        <f>+ROUND(Návrh!K483,-3)/$X$2</f>
        <v>0</v>
      </c>
      <c r="L486" s="92">
        <f>+ROUND(Návrh!L483,-3)/$X$2</f>
        <v>0</v>
      </c>
      <c r="M486" s="67"/>
    </row>
    <row r="487" spans="1:13" x14ac:dyDescent="0.25">
      <c r="A487" s="42" t="s">
        <v>1368</v>
      </c>
      <c r="B487" s="14"/>
      <c r="C487" s="13"/>
      <c r="D487" s="13"/>
      <c r="E487" s="373" t="s">
        <v>496</v>
      </c>
      <c r="F487" s="374"/>
      <c r="G487" s="88">
        <f>+ROUND(Návrh!H484,-3)/$X$2</f>
        <v>0</v>
      </c>
      <c r="H487" s="88">
        <f>+ROUND(Návrh!I484,-3)/$X$2</f>
        <v>0</v>
      </c>
      <c r="I487" s="88">
        <f>+ROUND(Návrh!J484,-3)/$X$2</f>
        <v>0</v>
      </c>
      <c r="J487" s="88" t="e">
        <f>+ROUND(Návrh!#REF!,-3)/$X$2</f>
        <v>#REF!</v>
      </c>
      <c r="K487" s="88">
        <f>+ROUND(Návrh!K484,-3)/$X$2</f>
        <v>0</v>
      </c>
      <c r="L487" s="88">
        <f>+ROUND(Návrh!L484,-3)/$X$2</f>
        <v>0</v>
      </c>
      <c r="M487" s="67"/>
    </row>
    <row r="488" spans="1:13" x14ac:dyDescent="0.25">
      <c r="A488" s="26" t="s">
        <v>1369</v>
      </c>
      <c r="B488" s="26"/>
      <c r="C488" s="23"/>
      <c r="D488" s="23"/>
      <c r="E488" s="379" t="s">
        <v>497</v>
      </c>
      <c r="F488" s="380"/>
      <c r="G488" s="92">
        <f>+ROUND(Návrh!H485,-3)/$X$2</f>
        <v>-501</v>
      </c>
      <c r="H488" s="92">
        <f>+ROUND(Návrh!I485,-3)/$X$2</f>
        <v>-669</v>
      </c>
      <c r="I488" s="92">
        <f>+ROUND(Návrh!J485,-3)/$X$2</f>
        <v>-500</v>
      </c>
      <c r="J488" s="92" t="e">
        <f>+ROUND(Návrh!#REF!,-3)/$X$2</f>
        <v>#REF!</v>
      </c>
      <c r="K488" s="92">
        <f>+ROUND(Návrh!K485,-3)/$X$2</f>
        <v>-627</v>
      </c>
      <c r="L488" s="92">
        <f>+ROUND(Návrh!L485,-3)/$X$2</f>
        <v>-580</v>
      </c>
      <c r="M488" s="67"/>
    </row>
    <row r="489" spans="1:13" x14ac:dyDescent="0.25">
      <c r="A489" s="42" t="s">
        <v>1370</v>
      </c>
      <c r="B489" s="20" t="s">
        <v>1243</v>
      </c>
      <c r="C489" s="20" t="s">
        <v>920</v>
      </c>
      <c r="D489" s="20" t="s">
        <v>1245</v>
      </c>
      <c r="E489" s="373" t="s">
        <v>498</v>
      </c>
      <c r="F489" s="374"/>
      <c r="G489" s="88">
        <f>+ROUND(Návrh!H486,-3)/$X$2</f>
        <v>-501</v>
      </c>
      <c r="H489" s="88">
        <f>+ROUND(Návrh!I486,-3)/$X$2</f>
        <v>-669</v>
      </c>
      <c r="I489" s="88">
        <f>+ROUND(Návrh!J486,-3)/$X$2</f>
        <v>-500</v>
      </c>
      <c r="J489" s="88" t="e">
        <f>+ROUND(Návrh!#REF!,-3)/$X$2</f>
        <v>#REF!</v>
      </c>
      <c r="K489" s="88">
        <f>+ROUND(Návrh!K486,-3)/$X$2</f>
        <v>-627</v>
      </c>
      <c r="L489" s="88">
        <f>+ROUND(Návrh!L486,-3)/$X$2</f>
        <v>-580</v>
      </c>
      <c r="M489" s="67"/>
    </row>
    <row r="490" spans="1:13" x14ac:dyDescent="0.25">
      <c r="A490" s="26" t="s">
        <v>1371</v>
      </c>
      <c r="B490" s="26"/>
      <c r="C490" s="23"/>
      <c r="D490" s="23"/>
      <c r="E490" s="379" t="s">
        <v>499</v>
      </c>
      <c r="F490" s="380"/>
      <c r="G490" s="92">
        <f>+ROUND(Návrh!H487,-3)/$X$2</f>
        <v>-405</v>
      </c>
      <c r="H490" s="92">
        <f>+ROUND(Návrh!I487,-3)/$X$2</f>
        <v>-529</v>
      </c>
      <c r="I490" s="92">
        <f>+ROUND(Návrh!J487,-3)/$X$2</f>
        <v>0</v>
      </c>
      <c r="J490" s="92" t="e">
        <f>+ROUND(Návrh!#REF!,-3)/$X$2</f>
        <v>#REF!</v>
      </c>
      <c r="K490" s="92">
        <f>+ROUND(Návrh!K487,-3)/$X$2</f>
        <v>-467</v>
      </c>
      <c r="L490" s="92">
        <f>+ROUND(Návrh!L487,-3)/$X$2</f>
        <v>-500</v>
      </c>
      <c r="M490" s="67"/>
    </row>
    <row r="491" spans="1:13" x14ac:dyDescent="0.25">
      <c r="A491" s="42" t="s">
        <v>1372</v>
      </c>
      <c r="B491" s="27" t="s">
        <v>916</v>
      </c>
      <c r="C491" s="16" t="s">
        <v>920</v>
      </c>
      <c r="D491" s="16" t="s">
        <v>917</v>
      </c>
      <c r="E491" s="373" t="s">
        <v>500</v>
      </c>
      <c r="F491" s="374"/>
      <c r="G491" s="88">
        <f>+ROUND(Návrh!H488,-3)/$X$2</f>
        <v>-405</v>
      </c>
      <c r="H491" s="88">
        <f>+ROUND(Návrh!I488,-3)/$X$2</f>
        <v>-529</v>
      </c>
      <c r="I491" s="88">
        <f>+ROUND(Návrh!J488,-3)/$X$2</f>
        <v>0</v>
      </c>
      <c r="J491" s="88" t="e">
        <f>+ROUND(Návrh!#REF!,-3)/$X$2</f>
        <v>#REF!</v>
      </c>
      <c r="K491" s="88">
        <f>+ROUND(Návrh!K488,-3)/$X$2</f>
        <v>-467</v>
      </c>
      <c r="L491" s="88">
        <f>+ROUND(Návrh!L488,-3)/$X$2</f>
        <v>-500</v>
      </c>
      <c r="M491" s="67"/>
    </row>
    <row r="492" spans="1:13" x14ac:dyDescent="0.25">
      <c r="A492" s="26" t="s">
        <v>1373</v>
      </c>
      <c r="B492" s="26"/>
      <c r="C492" s="23"/>
      <c r="D492" s="23"/>
      <c r="E492" s="379" t="s">
        <v>501</v>
      </c>
      <c r="F492" s="380"/>
      <c r="G492" s="92">
        <f>+ROUND(Návrh!H489,-3)/$X$2</f>
        <v>-14</v>
      </c>
      <c r="H492" s="92">
        <f>+ROUND(Návrh!I489,-3)/$X$2</f>
        <v>-10</v>
      </c>
      <c r="I492" s="92">
        <f>+ROUND(Návrh!J489,-3)/$X$2</f>
        <v>0</v>
      </c>
      <c r="J492" s="92" t="e">
        <f>+ROUND(Návrh!#REF!,-3)/$X$2</f>
        <v>#REF!</v>
      </c>
      <c r="K492" s="92">
        <f>+ROUND(Návrh!K489,-3)/$X$2</f>
        <v>-8</v>
      </c>
      <c r="L492" s="92">
        <f>+ROUND(Návrh!L489,-3)/$X$2</f>
        <v>0</v>
      </c>
      <c r="M492" s="67"/>
    </row>
    <row r="493" spans="1:13" x14ac:dyDescent="0.25">
      <c r="A493" s="42" t="s">
        <v>1374</v>
      </c>
      <c r="B493" s="14"/>
      <c r="C493" s="13"/>
      <c r="D493" s="13"/>
      <c r="E493" s="373" t="s">
        <v>502</v>
      </c>
      <c r="F493" s="374"/>
      <c r="G493" s="88">
        <f>+ROUND(Návrh!H490,-3)/$X$2</f>
        <v>-7</v>
      </c>
      <c r="H493" s="88">
        <f>+ROUND(Návrh!I490,-3)/$X$2</f>
        <v>-10</v>
      </c>
      <c r="I493" s="88">
        <f>+ROUND(Návrh!J490,-3)/$X$2</f>
        <v>0</v>
      </c>
      <c r="J493" s="88" t="e">
        <f>+ROUND(Návrh!#REF!,-3)/$X$2</f>
        <v>#REF!</v>
      </c>
      <c r="K493" s="88">
        <f>+ROUND(Návrh!K490,-3)/$X$2</f>
        <v>-8</v>
      </c>
      <c r="L493" s="88">
        <f>+ROUND(Návrh!L490,-3)/$X$2</f>
        <v>0</v>
      </c>
      <c r="M493" s="67"/>
    </row>
    <row r="494" spans="1:13" x14ac:dyDescent="0.25">
      <c r="A494" s="42" t="s">
        <v>1375</v>
      </c>
      <c r="B494" s="14"/>
      <c r="C494" s="13"/>
      <c r="D494" s="13"/>
      <c r="E494" s="373" t="s">
        <v>503</v>
      </c>
      <c r="F494" s="374"/>
      <c r="G494" s="88">
        <f>+ROUND(Návrh!H491,-3)/$X$2</f>
        <v>-2</v>
      </c>
      <c r="H494" s="88">
        <f>+ROUND(Návrh!I491,-3)/$X$2</f>
        <v>0</v>
      </c>
      <c r="I494" s="88">
        <f>+ROUND(Návrh!J491,-3)/$X$2</f>
        <v>0</v>
      </c>
      <c r="J494" s="88" t="e">
        <f>+ROUND(Návrh!#REF!,-3)/$X$2</f>
        <v>#REF!</v>
      </c>
      <c r="K494" s="88">
        <f>+ROUND(Návrh!K491,-3)/$X$2</f>
        <v>0</v>
      </c>
      <c r="L494" s="88">
        <f>+ROUND(Návrh!L491,-3)/$X$2</f>
        <v>0</v>
      </c>
      <c r="M494" s="67"/>
    </row>
    <row r="495" spans="1:13" x14ac:dyDescent="0.25">
      <c r="A495" s="42" t="s">
        <v>1376</v>
      </c>
      <c r="B495" s="14"/>
      <c r="C495" s="13"/>
      <c r="D495" s="13"/>
      <c r="E495" s="373" t="s">
        <v>504</v>
      </c>
      <c r="F495" s="374"/>
      <c r="G495" s="88">
        <f>+ROUND(Návrh!H492,-3)/$X$2</f>
        <v>-5</v>
      </c>
      <c r="H495" s="88">
        <f>+ROUND(Návrh!I492,-3)/$X$2</f>
        <v>0</v>
      </c>
      <c r="I495" s="88">
        <f>+ROUND(Návrh!J492,-3)/$X$2</f>
        <v>0</v>
      </c>
      <c r="J495" s="88" t="e">
        <f>+ROUND(Návrh!#REF!,-3)/$X$2</f>
        <v>#REF!</v>
      </c>
      <c r="K495" s="88">
        <f>+ROUND(Návrh!K492,-3)/$X$2</f>
        <v>0</v>
      </c>
      <c r="L495" s="88">
        <f>+ROUND(Návrh!L492,-3)/$X$2</f>
        <v>0</v>
      </c>
      <c r="M495" s="67"/>
    </row>
    <row r="496" spans="1:13" x14ac:dyDescent="0.25">
      <c r="A496" s="26" t="s">
        <v>1377</v>
      </c>
      <c r="B496" s="26"/>
      <c r="C496" s="23"/>
      <c r="D496" s="23"/>
      <c r="E496" s="379" t="s">
        <v>505</v>
      </c>
      <c r="F496" s="380"/>
      <c r="G496" s="92">
        <f>+ROUND(Návrh!H493,-3)/$X$2</f>
        <v>-183</v>
      </c>
      <c r="H496" s="92">
        <f>+ROUND(Návrh!I493,-3)/$X$2</f>
        <v>-149</v>
      </c>
      <c r="I496" s="92">
        <f>+ROUND(Návrh!J493,-3)/$X$2</f>
        <v>-135</v>
      </c>
      <c r="J496" s="92" t="e">
        <f>+ROUND(Návrh!#REF!,-3)/$X$2</f>
        <v>#REF!</v>
      </c>
      <c r="K496" s="92">
        <f>+ROUND(Návrh!K493,-3)/$X$2</f>
        <v>-153</v>
      </c>
      <c r="L496" s="92">
        <f>+ROUND(Návrh!L493,-3)/$X$2</f>
        <v>-142</v>
      </c>
      <c r="M496" s="67"/>
    </row>
    <row r="497" spans="1:13" x14ac:dyDescent="0.25">
      <c r="A497" s="42" t="s">
        <v>1378</v>
      </c>
      <c r="B497" s="27" t="s">
        <v>916</v>
      </c>
      <c r="C497" s="28" t="s">
        <v>923</v>
      </c>
      <c r="D497" s="28" t="s">
        <v>917</v>
      </c>
      <c r="E497" s="373" t="s">
        <v>506</v>
      </c>
      <c r="F497" s="374"/>
      <c r="G497" s="88">
        <f>+ROUND(Návrh!H494,-3)/$X$2</f>
        <v>-131</v>
      </c>
      <c r="H497" s="88">
        <f>+ROUND(Návrh!I494,-3)/$X$2</f>
        <v>-135</v>
      </c>
      <c r="I497" s="88">
        <f>+ROUND(Návrh!J494,-3)/$X$2</f>
        <v>-135</v>
      </c>
      <c r="J497" s="88" t="e">
        <f>+ROUND(Návrh!#REF!,-3)/$X$2</f>
        <v>#REF!</v>
      </c>
      <c r="K497" s="88">
        <f>+ROUND(Návrh!K494,-3)/$X$2</f>
        <v>-139</v>
      </c>
      <c r="L497" s="88">
        <f>+ROUND(Návrh!L494,-3)/$X$2</f>
        <v>-142</v>
      </c>
      <c r="M497" s="67"/>
    </row>
    <row r="498" spans="1:13" x14ac:dyDescent="0.25">
      <c r="A498" s="42" t="s">
        <v>1379</v>
      </c>
      <c r="B498" s="14"/>
      <c r="C498" s="13"/>
      <c r="D498" s="13"/>
      <c r="E498" s="373" t="s">
        <v>507</v>
      </c>
      <c r="F498" s="374"/>
      <c r="G498" s="88">
        <f>+ROUND(Návrh!H495,-3)/$X$2</f>
        <v>-10</v>
      </c>
      <c r="H498" s="88">
        <f>+ROUND(Návrh!I495,-3)/$X$2</f>
        <v>-14</v>
      </c>
      <c r="I498" s="88">
        <f>+ROUND(Návrh!J495,-3)/$X$2</f>
        <v>0</v>
      </c>
      <c r="J498" s="88" t="e">
        <f>+ROUND(Návrh!#REF!,-3)/$X$2</f>
        <v>#REF!</v>
      </c>
      <c r="K498" s="88">
        <f>+ROUND(Návrh!K495,-3)/$X$2</f>
        <v>-15</v>
      </c>
      <c r="L498" s="88">
        <f>+ROUND(Návrh!L495,-3)/$X$2</f>
        <v>0</v>
      </c>
      <c r="M498" s="67"/>
    </row>
    <row r="499" spans="1:13" x14ac:dyDescent="0.25">
      <c r="A499" s="42" t="s">
        <v>1380</v>
      </c>
      <c r="B499" s="14"/>
      <c r="C499" s="13"/>
      <c r="D499" s="13"/>
      <c r="E499" s="373" t="s">
        <v>93</v>
      </c>
      <c r="F499" s="374"/>
      <c r="G499" s="88">
        <f>+ROUND(Návrh!H496,-3)/$X$2</f>
        <v>-42</v>
      </c>
      <c r="H499" s="88">
        <f>+ROUND(Návrh!I496,-3)/$X$2</f>
        <v>0</v>
      </c>
      <c r="I499" s="88">
        <f>+ROUND(Návrh!J496,-3)/$X$2</f>
        <v>0</v>
      </c>
      <c r="J499" s="88" t="e">
        <f>+ROUND(Návrh!#REF!,-3)/$X$2</f>
        <v>#REF!</v>
      </c>
      <c r="K499" s="88">
        <f>+ROUND(Návrh!K496,-3)/$X$2</f>
        <v>0</v>
      </c>
      <c r="L499" s="88">
        <f>+ROUND(Návrh!L496,-3)/$X$2</f>
        <v>0</v>
      </c>
      <c r="M499" s="67"/>
    </row>
    <row r="500" spans="1:13" x14ac:dyDescent="0.25">
      <c r="A500" s="41" t="s">
        <v>508</v>
      </c>
      <c r="B500" s="41"/>
      <c r="C500" s="40"/>
      <c r="D500" s="40"/>
      <c r="E500" s="383" t="s">
        <v>509</v>
      </c>
      <c r="F500" s="384"/>
      <c r="G500" s="89">
        <f>+ROUND(Návrh!H497,-3)/$X$2</f>
        <v>-303484</v>
      </c>
      <c r="H500" s="89">
        <f>+ROUND(Návrh!I497,-3)/$X$2</f>
        <v>-307830</v>
      </c>
      <c r="I500" s="89">
        <f>+ROUND(Návrh!J497,-3)/$X$2</f>
        <v>-324191</v>
      </c>
      <c r="J500" s="89" t="e">
        <f>+ROUND(Návrh!#REF!,-3)/$X$2</f>
        <v>#REF!</v>
      </c>
      <c r="K500" s="89">
        <f>+ROUND(Návrh!K497,-3)/$X$2</f>
        <v>-301319</v>
      </c>
      <c r="L500" s="89">
        <f>+ROUND(Návrh!L497,-3)/$X$2</f>
        <v>-373729</v>
      </c>
      <c r="M500" s="67"/>
    </row>
    <row r="501" spans="1:13" x14ac:dyDescent="0.25">
      <c r="A501" s="38" t="s">
        <v>510</v>
      </c>
      <c r="B501" s="38"/>
      <c r="C501" s="22"/>
      <c r="D501" s="22"/>
      <c r="E501" s="385" t="s">
        <v>511</v>
      </c>
      <c r="F501" s="386"/>
      <c r="G501" s="91">
        <f>+ROUND(Návrh!H498,-3)/$X$2</f>
        <v>-256194</v>
      </c>
      <c r="H501" s="91">
        <f>+ROUND(Návrh!I498,-3)/$X$2</f>
        <v>-262580</v>
      </c>
      <c r="I501" s="91">
        <f>+ROUND(Návrh!J498,-3)/$X$2</f>
        <v>-274900</v>
      </c>
      <c r="J501" s="91" t="e">
        <f>+ROUND(Návrh!#REF!,-3)/$X$2</f>
        <v>#REF!</v>
      </c>
      <c r="K501" s="91">
        <f>+ROUND(Návrh!K498,-3)/$X$2</f>
        <v>-271372</v>
      </c>
      <c r="L501" s="91">
        <f>+ROUND(Návrh!L498,-3)/$X$2</f>
        <v>-313583</v>
      </c>
      <c r="M501" s="67"/>
    </row>
    <row r="502" spans="1:13" x14ac:dyDescent="0.25">
      <c r="A502" s="26" t="s">
        <v>1381</v>
      </c>
      <c r="B502" s="26"/>
      <c r="C502" s="23"/>
      <c r="D502" s="23"/>
      <c r="E502" s="379" t="s">
        <v>512</v>
      </c>
      <c r="F502" s="380"/>
      <c r="G502" s="92">
        <f>+ROUND(Návrh!H499,-3)/$X$2</f>
        <v>356</v>
      </c>
      <c r="H502" s="92">
        <f>+ROUND(Návrh!I499,-3)/$X$2</f>
        <v>378</v>
      </c>
      <c r="I502" s="92">
        <f>+ROUND(Návrh!J499,-3)/$X$2</f>
        <v>0</v>
      </c>
      <c r="J502" s="92" t="e">
        <f>+ROUND(Návrh!#REF!,-3)/$X$2</f>
        <v>#REF!</v>
      </c>
      <c r="K502" s="92">
        <f>+ROUND(Návrh!K499,-3)/$X$2</f>
        <v>316</v>
      </c>
      <c r="L502" s="92">
        <f>+ROUND(Návrh!L499,-3)/$X$2</f>
        <v>0</v>
      </c>
      <c r="M502" s="67"/>
    </row>
    <row r="503" spans="1:13" x14ac:dyDescent="0.25">
      <c r="A503" s="42" t="s">
        <v>1382</v>
      </c>
      <c r="B503" s="14"/>
      <c r="C503" s="13"/>
      <c r="D503" s="13"/>
      <c r="E503" s="373" t="s">
        <v>513</v>
      </c>
      <c r="F503" s="374"/>
      <c r="G503" s="88">
        <f>+ROUND(Návrh!H500,-3)/$X$2</f>
        <v>356</v>
      </c>
      <c r="H503" s="88">
        <f>+ROUND(Návrh!I500,-3)/$X$2</f>
        <v>378</v>
      </c>
      <c r="I503" s="88">
        <f>+ROUND(Návrh!J500,-3)/$X$2</f>
        <v>0</v>
      </c>
      <c r="J503" s="88" t="e">
        <f>+ROUND(Návrh!#REF!,-3)/$X$2</f>
        <v>#REF!</v>
      </c>
      <c r="K503" s="88">
        <f>+ROUND(Návrh!K500,-3)/$X$2</f>
        <v>316</v>
      </c>
      <c r="L503" s="88">
        <f>+ROUND(Návrh!L500,-3)/$X$2</f>
        <v>0</v>
      </c>
      <c r="M503" s="67"/>
    </row>
    <row r="504" spans="1:13" x14ac:dyDescent="0.25">
      <c r="A504" s="26" t="s">
        <v>1383</v>
      </c>
      <c r="B504" s="26"/>
      <c r="C504" s="23"/>
      <c r="D504" s="23"/>
      <c r="E504" s="379" t="s">
        <v>514</v>
      </c>
      <c r="F504" s="380"/>
      <c r="G504" s="92">
        <f>+ROUND(Návrh!H501,-3)/$X$2</f>
        <v>-254016</v>
      </c>
      <c r="H504" s="92">
        <f>+ROUND(Návrh!I501,-3)/$X$2</f>
        <v>-259697</v>
      </c>
      <c r="I504" s="92">
        <f>+ROUND(Návrh!J501,-3)/$X$2</f>
        <v>-274900</v>
      </c>
      <c r="J504" s="92" t="e">
        <f>+ROUND(Návrh!#REF!,-3)/$X$2</f>
        <v>#REF!</v>
      </c>
      <c r="K504" s="92">
        <f>+ROUND(Návrh!K501,-3)/$X$2</f>
        <v>-264955</v>
      </c>
      <c r="L504" s="92">
        <f>+ROUND(Návrh!L501,-3)/$X$2</f>
        <v>-273340</v>
      </c>
      <c r="M504" s="67"/>
    </row>
    <row r="505" spans="1:13" x14ac:dyDescent="0.25">
      <c r="A505" s="42" t="s">
        <v>1384</v>
      </c>
      <c r="B505" s="20" t="s">
        <v>916</v>
      </c>
      <c r="C505" s="20" t="s">
        <v>923</v>
      </c>
      <c r="D505" s="20" t="s">
        <v>1246</v>
      </c>
      <c r="E505" s="373" t="s">
        <v>515</v>
      </c>
      <c r="F505" s="374"/>
      <c r="G505" s="88">
        <f>+ROUND(Návrh!H502,-3)/$X$2</f>
        <v>-6746</v>
      </c>
      <c r="H505" s="88">
        <f>+ROUND(Návrh!I502,-3)/$X$2</f>
        <v>-5832</v>
      </c>
      <c r="I505" s="88">
        <f>+ROUND(Návrh!J502,-3)/$X$2</f>
        <v>-9642</v>
      </c>
      <c r="J505" s="88" t="e">
        <f>+ROUND(Návrh!#REF!,-3)/$X$2</f>
        <v>#REF!</v>
      </c>
      <c r="K505" s="88">
        <f>+ROUND(Návrh!K502,-3)/$X$2</f>
        <v>-5814</v>
      </c>
      <c r="L505" s="88">
        <f>+ROUND(Návrh!L502,-3)/$X$2</f>
        <v>-5932</v>
      </c>
      <c r="M505" s="67"/>
    </row>
    <row r="506" spans="1:13" x14ac:dyDescent="0.25">
      <c r="A506" s="42" t="s">
        <v>1385</v>
      </c>
      <c r="B506" s="20" t="s">
        <v>916</v>
      </c>
      <c r="C506" s="20" t="s">
        <v>923</v>
      </c>
      <c r="D506" s="20" t="s">
        <v>1246</v>
      </c>
      <c r="E506" s="373" t="s">
        <v>516</v>
      </c>
      <c r="F506" s="374"/>
      <c r="G506" s="88">
        <f>+ROUND(Návrh!H503,-3)/$X$2</f>
        <v>-24673</v>
      </c>
      <c r="H506" s="88">
        <f>+ROUND(Návrh!I503,-3)/$X$2</f>
        <v>-40665</v>
      </c>
      <c r="I506" s="88">
        <f>+ROUND(Návrh!J503,-3)/$X$2</f>
        <v>-30060</v>
      </c>
      <c r="J506" s="88" t="e">
        <f>+ROUND(Návrh!#REF!,-3)/$X$2</f>
        <v>#REF!</v>
      </c>
      <c r="K506" s="88">
        <f>+ROUND(Návrh!K503,-3)/$X$2</f>
        <v>-30592</v>
      </c>
      <c r="L506" s="88">
        <f>+ROUND(Návrh!L503,-3)/$X$2</f>
        <v>-33641</v>
      </c>
      <c r="M506" s="67"/>
    </row>
    <row r="507" spans="1:13" x14ac:dyDescent="0.25">
      <c r="A507" s="42" t="s">
        <v>1386</v>
      </c>
      <c r="B507" s="20" t="s">
        <v>916</v>
      </c>
      <c r="C507" s="20" t="s">
        <v>923</v>
      </c>
      <c r="D507" s="20" t="s">
        <v>1246</v>
      </c>
      <c r="E507" s="373" t="s">
        <v>517</v>
      </c>
      <c r="F507" s="374"/>
      <c r="G507" s="88">
        <f>+ROUND(Návrh!H504,-3)/$X$2</f>
        <v>-74307</v>
      </c>
      <c r="H507" s="88">
        <f>+ROUND(Návrh!I504,-3)/$X$2</f>
        <v>-72659</v>
      </c>
      <c r="I507" s="88">
        <f>+ROUND(Návrh!J504,-3)/$X$2</f>
        <v>-87287</v>
      </c>
      <c r="J507" s="88" t="e">
        <f>+ROUND(Návrh!#REF!,-3)/$X$2</f>
        <v>#REF!</v>
      </c>
      <c r="K507" s="88">
        <f>+ROUND(Návrh!K504,-3)/$X$2</f>
        <v>-81862</v>
      </c>
      <c r="L507" s="88">
        <f>+ROUND(Návrh!L504,-3)/$X$2</f>
        <v>-100567</v>
      </c>
      <c r="M507" s="67"/>
    </row>
    <row r="508" spans="1:13" x14ac:dyDescent="0.25">
      <c r="A508" s="42" t="s">
        <v>1387</v>
      </c>
      <c r="B508" s="20" t="s">
        <v>916</v>
      </c>
      <c r="C508" s="20" t="s">
        <v>923</v>
      </c>
      <c r="D508" s="20" t="s">
        <v>1246</v>
      </c>
      <c r="E508" s="373" t="s">
        <v>518</v>
      </c>
      <c r="F508" s="374"/>
      <c r="G508" s="88">
        <f>+ROUND(Návrh!H505,-3)/$X$2</f>
        <v>-40374</v>
      </c>
      <c r="H508" s="88">
        <f>+ROUND(Návrh!I505,-3)/$X$2</f>
        <v>-45241</v>
      </c>
      <c r="I508" s="88">
        <f>+ROUND(Návrh!J505,-3)/$X$2</f>
        <v>-44046</v>
      </c>
      <c r="J508" s="88" t="e">
        <f>+ROUND(Návrh!#REF!,-3)/$X$2</f>
        <v>#REF!</v>
      </c>
      <c r="K508" s="88">
        <f>+ROUND(Návrh!K505,-3)/$X$2</f>
        <v>-43342</v>
      </c>
      <c r="L508" s="88">
        <f>+ROUND(Návrh!L505,-3)/$X$2</f>
        <v>-34277</v>
      </c>
      <c r="M508" s="67"/>
    </row>
    <row r="509" spans="1:13" x14ac:dyDescent="0.25">
      <c r="A509" s="42" t="s">
        <v>1388</v>
      </c>
      <c r="B509" s="20" t="s">
        <v>916</v>
      </c>
      <c r="C509" s="20" t="s">
        <v>923</v>
      </c>
      <c r="D509" s="20" t="s">
        <v>1246</v>
      </c>
      <c r="E509" s="373" t="s">
        <v>519</v>
      </c>
      <c r="F509" s="374"/>
      <c r="G509" s="88">
        <f>+ROUND(Návrh!H506,-3)/$X$2</f>
        <v>-19931</v>
      </c>
      <c r="H509" s="88">
        <f>+ROUND(Návrh!I506,-3)/$X$2</f>
        <v>-20975</v>
      </c>
      <c r="I509" s="88">
        <f>+ROUND(Návrh!J506,-3)/$X$2</f>
        <v>-21884</v>
      </c>
      <c r="J509" s="88" t="e">
        <f>+ROUND(Návrh!#REF!,-3)/$X$2</f>
        <v>#REF!</v>
      </c>
      <c r="K509" s="88">
        <f>+ROUND(Návrh!K506,-3)/$X$2</f>
        <v>-21896</v>
      </c>
      <c r="L509" s="88">
        <f>+ROUND(Návrh!L506,-3)/$X$2</f>
        <v>-22352</v>
      </c>
      <c r="M509" s="67"/>
    </row>
    <row r="510" spans="1:13" x14ac:dyDescent="0.25">
      <c r="A510" s="42" t="s">
        <v>1389</v>
      </c>
      <c r="B510" s="20" t="s">
        <v>916</v>
      </c>
      <c r="C510" s="20" t="s">
        <v>923</v>
      </c>
      <c r="D510" s="20" t="s">
        <v>1246</v>
      </c>
      <c r="E510" s="373" t="s">
        <v>520</v>
      </c>
      <c r="F510" s="374"/>
      <c r="G510" s="88">
        <f>+ROUND(Návrh!H507,-3)/$X$2</f>
        <v>-76336</v>
      </c>
      <c r="H510" s="88">
        <f>+ROUND(Návrh!I507,-3)/$X$2</f>
        <v>-63568</v>
      </c>
      <c r="I510" s="88">
        <f>+ROUND(Návrh!J507,-3)/$X$2</f>
        <v>-71197</v>
      </c>
      <c r="J510" s="88" t="e">
        <f>+ROUND(Návrh!#REF!,-3)/$X$2</f>
        <v>#REF!</v>
      </c>
      <c r="K510" s="88">
        <f>+ROUND(Návrh!K507,-3)/$X$2</f>
        <v>-70664</v>
      </c>
      <c r="L510" s="88">
        <f>+ROUND(Návrh!L507,-3)/$X$2</f>
        <v>-67113</v>
      </c>
      <c r="M510" s="67"/>
    </row>
    <row r="511" spans="1:13" x14ac:dyDescent="0.25">
      <c r="A511" s="42" t="s">
        <v>1390</v>
      </c>
      <c r="B511" s="20" t="s">
        <v>916</v>
      </c>
      <c r="C511" s="20" t="s">
        <v>923</v>
      </c>
      <c r="D511" s="20" t="s">
        <v>1246</v>
      </c>
      <c r="E511" s="373" t="s">
        <v>521</v>
      </c>
      <c r="F511" s="374"/>
      <c r="G511" s="88">
        <f>+ROUND(Návrh!H508,-3)/$X$2</f>
        <v>-11649</v>
      </c>
      <c r="H511" s="88">
        <f>+ROUND(Návrh!I508,-3)/$X$2</f>
        <v>-10756</v>
      </c>
      <c r="I511" s="88">
        <f>+ROUND(Návrh!J508,-3)/$X$2</f>
        <v>-10784</v>
      </c>
      <c r="J511" s="88" t="e">
        <f>+ROUND(Návrh!#REF!,-3)/$X$2</f>
        <v>#REF!</v>
      </c>
      <c r="K511" s="88">
        <f>+ROUND(Návrh!K508,-3)/$X$2</f>
        <v>-10785</v>
      </c>
      <c r="L511" s="88">
        <f>+ROUND(Návrh!L508,-3)/$X$2</f>
        <v>-9457</v>
      </c>
      <c r="M511" s="67"/>
    </row>
    <row r="512" spans="1:13" x14ac:dyDescent="0.25">
      <c r="A512" s="26" t="s">
        <v>1391</v>
      </c>
      <c r="B512" s="26"/>
      <c r="C512" s="23"/>
      <c r="D512" s="23"/>
      <c r="E512" s="379" t="s">
        <v>522</v>
      </c>
      <c r="F512" s="380"/>
      <c r="G512" s="92">
        <f>+ROUND(Návrh!H509,-3)/$X$2</f>
        <v>-2178</v>
      </c>
      <c r="H512" s="92">
        <f>+ROUND(Návrh!I509,-3)/$X$2</f>
        <v>-2884</v>
      </c>
      <c r="I512" s="92">
        <f>+ROUND(Návrh!J509,-3)/$X$2</f>
        <v>0</v>
      </c>
      <c r="J512" s="92" t="e">
        <f>+ROUND(Návrh!#REF!,-3)/$X$2</f>
        <v>#REF!</v>
      </c>
      <c r="K512" s="92">
        <f>+ROUND(Návrh!K509,-3)/$X$2</f>
        <v>-6417</v>
      </c>
      <c r="L512" s="92">
        <f>+ROUND(Návrh!L509,-3)/$X$2</f>
        <v>-40243</v>
      </c>
      <c r="M512" s="67"/>
    </row>
    <row r="513" spans="1:13" x14ac:dyDescent="0.25">
      <c r="A513" s="42" t="s">
        <v>1392</v>
      </c>
      <c r="B513" s="20" t="s">
        <v>916</v>
      </c>
      <c r="C513" s="20" t="s">
        <v>923</v>
      </c>
      <c r="D513" s="20" t="s">
        <v>1246</v>
      </c>
      <c r="E513" s="373" t="s">
        <v>523</v>
      </c>
      <c r="F513" s="374"/>
      <c r="G513" s="88">
        <f>+ROUND(Návrh!H510,-3)/$X$2</f>
        <v>-1154</v>
      </c>
      <c r="H513" s="88">
        <f>+ROUND(Návrh!I510,-3)/$X$2</f>
        <v>-2142</v>
      </c>
      <c r="I513" s="88">
        <f>+ROUND(Návrh!J510,-3)/$X$2</f>
        <v>0</v>
      </c>
      <c r="J513" s="88" t="e">
        <f>+ROUND(Návrh!#REF!,-3)/$X$2</f>
        <v>#REF!</v>
      </c>
      <c r="K513" s="88">
        <f>+ROUND(Návrh!K510,-3)/$X$2</f>
        <v>-1339</v>
      </c>
      <c r="L513" s="88">
        <f>+ROUND(Návrh!L510,-3)/$X$2</f>
        <v>-1800</v>
      </c>
      <c r="M513" s="67"/>
    </row>
    <row r="514" spans="1:13" x14ac:dyDescent="0.25">
      <c r="A514" s="42" t="s">
        <v>1393</v>
      </c>
      <c r="B514" s="20" t="s">
        <v>916</v>
      </c>
      <c r="C514" s="20" t="s">
        <v>923</v>
      </c>
      <c r="D514" s="20" t="s">
        <v>1246</v>
      </c>
      <c r="E514" s="373" t="s">
        <v>524</v>
      </c>
      <c r="F514" s="374"/>
      <c r="G514" s="88">
        <f>+ROUND(Návrh!H511,-3)/$X$2</f>
        <v>-97</v>
      </c>
      <c r="H514" s="88">
        <f>+ROUND(Návrh!I511,-3)/$X$2</f>
        <v>-174</v>
      </c>
      <c r="I514" s="88">
        <f>+ROUND(Návrh!J511,-3)/$X$2</f>
        <v>0</v>
      </c>
      <c r="J514" s="88" t="e">
        <f>+ROUND(Návrh!#REF!,-3)/$X$2</f>
        <v>#REF!</v>
      </c>
      <c r="K514" s="88">
        <f>+ROUND(Návrh!K511,-3)/$X$2</f>
        <v>-316</v>
      </c>
      <c r="L514" s="88">
        <f>+ROUND(Návrh!L511,-3)/$X$2</f>
        <v>0</v>
      </c>
      <c r="M514" s="67"/>
    </row>
    <row r="515" spans="1:13" x14ac:dyDescent="0.25">
      <c r="A515" s="42" t="s">
        <v>1394</v>
      </c>
      <c r="B515" s="20" t="s">
        <v>916</v>
      </c>
      <c r="C515" s="20" t="s">
        <v>923</v>
      </c>
      <c r="D515" s="20" t="s">
        <v>1246</v>
      </c>
      <c r="E515" s="373" t="s">
        <v>525</v>
      </c>
      <c r="F515" s="374"/>
      <c r="G515" s="88">
        <f>+ROUND(Návrh!H512,-3)/$X$2</f>
        <v>-435</v>
      </c>
      <c r="H515" s="88">
        <f>+ROUND(Návrh!I512,-3)/$X$2</f>
        <v>0</v>
      </c>
      <c r="I515" s="88">
        <f>+ROUND(Návrh!J512,-3)/$X$2</f>
        <v>0</v>
      </c>
      <c r="J515" s="88" t="e">
        <f>+ROUND(Návrh!#REF!,-3)/$X$2</f>
        <v>#REF!</v>
      </c>
      <c r="K515" s="88">
        <f>+ROUND(Návrh!K512,-3)/$X$2</f>
        <v>-4763</v>
      </c>
      <c r="L515" s="88">
        <f>+ROUND(Návrh!L512,-3)/$X$2</f>
        <v>-344</v>
      </c>
      <c r="M515" s="67"/>
    </row>
    <row r="516" spans="1:13" x14ac:dyDescent="0.25">
      <c r="A516" s="83" t="s">
        <v>1641</v>
      </c>
      <c r="B516" s="21" t="s">
        <v>916</v>
      </c>
      <c r="C516" s="21" t="s">
        <v>923</v>
      </c>
      <c r="D516" s="21" t="s">
        <v>1246</v>
      </c>
      <c r="E516" s="387" t="s">
        <v>1642</v>
      </c>
      <c r="F516" s="388"/>
      <c r="G516" s="95">
        <f>+ROUND(Návrh!H513,-3)/$X$2</f>
        <v>0</v>
      </c>
      <c r="H516" s="95">
        <f>+ROUND(Návrh!I513,-3)/$X$2</f>
        <v>0</v>
      </c>
      <c r="I516" s="95">
        <f>+ROUND(Návrh!J513,-3)/$X$2</f>
        <v>0</v>
      </c>
      <c r="J516" s="95" t="e">
        <f>+ROUND(Návrh!#REF!,-3)/$X$2</f>
        <v>#REF!</v>
      </c>
      <c r="K516" s="95">
        <f>+ROUND(Návrh!K513,-3)/$X$2</f>
        <v>0</v>
      </c>
      <c r="L516" s="95">
        <f>+ROUND(Návrh!L513,-3)/$X$2</f>
        <v>0</v>
      </c>
      <c r="M516" s="67"/>
    </row>
    <row r="517" spans="1:13" x14ac:dyDescent="0.25">
      <c r="A517" s="42" t="s">
        <v>1395</v>
      </c>
      <c r="B517" s="14"/>
      <c r="C517" s="13"/>
      <c r="D517" s="13"/>
      <c r="E517" s="373" t="s">
        <v>526</v>
      </c>
      <c r="F517" s="374"/>
      <c r="G517" s="88">
        <f>+ROUND(Návrh!H514,-3)/$X$2</f>
        <v>-174</v>
      </c>
      <c r="H517" s="88">
        <f>+ROUND(Návrh!I514,-3)/$X$2</f>
        <v>-330</v>
      </c>
      <c r="I517" s="88">
        <f>+ROUND(Návrh!J514,-3)/$X$2</f>
        <v>0</v>
      </c>
      <c r="J517" s="88" t="e">
        <f>+ROUND(Návrh!#REF!,-3)/$X$2</f>
        <v>#REF!</v>
      </c>
      <c r="K517" s="88">
        <f>+ROUND(Návrh!K514,-3)/$X$2</f>
        <v>0</v>
      </c>
      <c r="L517" s="88">
        <f>+ROUND(Návrh!L514,-3)/$X$2</f>
        <v>-38099</v>
      </c>
      <c r="M517" s="67"/>
    </row>
    <row r="518" spans="1:13" x14ac:dyDescent="0.25">
      <c r="A518" s="42" t="s">
        <v>1396</v>
      </c>
      <c r="B518" s="14"/>
      <c r="C518" s="13"/>
      <c r="D518" s="13"/>
      <c r="E518" s="373" t="s">
        <v>527</v>
      </c>
      <c r="F518" s="374"/>
      <c r="G518" s="88">
        <f>+ROUND(Návrh!H515,-3)/$X$2</f>
        <v>-318</v>
      </c>
      <c r="H518" s="88">
        <f>+ROUND(Návrh!I515,-3)/$X$2</f>
        <v>-238</v>
      </c>
      <c r="I518" s="88">
        <f>+ROUND(Návrh!J515,-3)/$X$2</f>
        <v>0</v>
      </c>
      <c r="J518" s="88" t="e">
        <f>+ROUND(Návrh!#REF!,-3)/$X$2</f>
        <v>#REF!</v>
      </c>
      <c r="K518" s="88">
        <f>+ROUND(Návrh!K515,-3)/$X$2</f>
        <v>0</v>
      </c>
      <c r="L518" s="88">
        <f>+ROUND(Návrh!L515,-3)/$X$2</f>
        <v>0</v>
      </c>
      <c r="M518" s="67"/>
    </row>
    <row r="519" spans="1:13" x14ac:dyDescent="0.25">
      <c r="A519" s="26" t="s">
        <v>1397</v>
      </c>
      <c r="B519" s="26"/>
      <c r="C519" s="23"/>
      <c r="D519" s="23"/>
      <c r="E519" s="379" t="s">
        <v>528</v>
      </c>
      <c r="F519" s="380"/>
      <c r="G519" s="92">
        <f>+ROUND(Návrh!H516,-3)/$X$2</f>
        <v>-356</v>
      </c>
      <c r="H519" s="92">
        <f>+ROUND(Návrh!I516,-3)/$X$2</f>
        <v>-378</v>
      </c>
      <c r="I519" s="92">
        <f>+ROUND(Návrh!J516,-3)/$X$2</f>
        <v>0</v>
      </c>
      <c r="J519" s="92" t="e">
        <f>+ROUND(Návrh!#REF!,-3)/$X$2</f>
        <v>#REF!</v>
      </c>
      <c r="K519" s="92">
        <f>+ROUND(Návrh!K516,-3)/$X$2</f>
        <v>-316</v>
      </c>
      <c r="L519" s="92">
        <f>+ROUND(Návrh!L516,-3)/$X$2</f>
        <v>0</v>
      </c>
      <c r="M519" s="67"/>
    </row>
    <row r="520" spans="1:13" x14ac:dyDescent="0.25">
      <c r="A520" s="42" t="s">
        <v>1398</v>
      </c>
      <c r="B520" s="14"/>
      <c r="C520" s="13"/>
      <c r="D520" s="13"/>
      <c r="E520" s="373" t="s">
        <v>529</v>
      </c>
      <c r="F520" s="374"/>
      <c r="G520" s="88">
        <f>+ROUND(Návrh!H517,-3)/$X$2</f>
        <v>-356</v>
      </c>
      <c r="H520" s="88">
        <f>+ROUND(Návrh!I517,-3)/$X$2</f>
        <v>-378</v>
      </c>
      <c r="I520" s="88">
        <f>+ROUND(Návrh!J517,-3)/$X$2</f>
        <v>0</v>
      </c>
      <c r="J520" s="88" t="e">
        <f>+ROUND(Návrh!#REF!,-3)/$X$2</f>
        <v>#REF!</v>
      </c>
      <c r="K520" s="88">
        <f>+ROUND(Návrh!K517,-3)/$X$2</f>
        <v>-316</v>
      </c>
      <c r="L520" s="88">
        <f>+ROUND(Návrh!L517,-3)/$X$2</f>
        <v>0</v>
      </c>
      <c r="M520" s="67"/>
    </row>
    <row r="521" spans="1:13" x14ac:dyDescent="0.25">
      <c r="A521" s="42" t="s">
        <v>1399</v>
      </c>
      <c r="B521" s="14"/>
      <c r="C521" s="13"/>
      <c r="D521" s="13"/>
      <c r="E521" s="373" t="s">
        <v>530</v>
      </c>
      <c r="F521" s="374"/>
      <c r="G521" s="88">
        <f>+ROUND(Návrh!H518,-3)/$X$2</f>
        <v>0</v>
      </c>
      <c r="H521" s="88">
        <f>+ROUND(Návrh!I518,-3)/$X$2</f>
        <v>0</v>
      </c>
      <c r="I521" s="88">
        <f>+ROUND(Návrh!J518,-3)/$X$2</f>
        <v>0</v>
      </c>
      <c r="J521" s="88" t="e">
        <f>+ROUND(Návrh!#REF!,-3)/$X$2</f>
        <v>#REF!</v>
      </c>
      <c r="K521" s="88">
        <f>+ROUND(Návrh!K518,-3)/$X$2</f>
        <v>0</v>
      </c>
      <c r="L521" s="88">
        <f>+ROUND(Návrh!L518,-3)/$X$2</f>
        <v>0</v>
      </c>
      <c r="M521" s="67"/>
    </row>
    <row r="522" spans="1:13" x14ac:dyDescent="0.25">
      <c r="A522" s="38" t="s">
        <v>531</v>
      </c>
      <c r="B522" s="38"/>
      <c r="C522" s="22"/>
      <c r="D522" s="22"/>
      <c r="E522" s="385" t="s">
        <v>532</v>
      </c>
      <c r="F522" s="386"/>
      <c r="G522" s="91">
        <f>+ROUND(Návrh!H519,-3)/$X$2</f>
        <v>0</v>
      </c>
      <c r="H522" s="91">
        <f>+ROUND(Návrh!I519,-3)/$X$2</f>
        <v>0</v>
      </c>
      <c r="I522" s="91">
        <f>+ROUND(Návrh!J519,-3)/$X$2</f>
        <v>0</v>
      </c>
      <c r="J522" s="91" t="e">
        <f>+ROUND(Návrh!#REF!,-3)/$X$2</f>
        <v>#REF!</v>
      </c>
      <c r="K522" s="91">
        <f>+ROUND(Návrh!K519,-3)/$X$2</f>
        <v>0</v>
      </c>
      <c r="L522" s="91">
        <f>+ROUND(Návrh!L519,-3)/$X$2</f>
        <v>0</v>
      </c>
      <c r="M522" s="67"/>
    </row>
    <row r="523" spans="1:13" x14ac:dyDescent="0.25">
      <c r="A523" s="38" t="s">
        <v>533</v>
      </c>
      <c r="B523" s="38"/>
      <c r="C523" s="22"/>
      <c r="D523" s="22"/>
      <c r="E523" s="385" t="s">
        <v>534</v>
      </c>
      <c r="F523" s="386"/>
      <c r="G523" s="91">
        <f>+ROUND(Návrh!H520,-3)/$X$2</f>
        <v>0</v>
      </c>
      <c r="H523" s="91">
        <f>+ROUND(Návrh!I520,-3)/$X$2</f>
        <v>0</v>
      </c>
      <c r="I523" s="91">
        <f>+ROUND(Návrh!J520,-3)/$X$2</f>
        <v>0</v>
      </c>
      <c r="J523" s="91" t="e">
        <f>+ROUND(Návrh!#REF!,-3)/$X$2</f>
        <v>#REF!</v>
      </c>
      <c r="K523" s="91">
        <f>+ROUND(Návrh!K520,-3)/$X$2</f>
        <v>0</v>
      </c>
      <c r="L523" s="91">
        <f>+ROUND(Návrh!L520,-3)/$X$2</f>
        <v>0</v>
      </c>
      <c r="M523" s="67"/>
    </row>
    <row r="524" spans="1:13" x14ac:dyDescent="0.25">
      <c r="A524" s="38" t="s">
        <v>535</v>
      </c>
      <c r="B524" s="38"/>
      <c r="C524" s="22"/>
      <c r="D524" s="22"/>
      <c r="E524" s="385" t="s">
        <v>536</v>
      </c>
      <c r="F524" s="386"/>
      <c r="G524" s="91">
        <f>+ROUND(Návrh!H521,-3)/$X$2</f>
        <v>0</v>
      </c>
      <c r="H524" s="91">
        <f>+ROUND(Návrh!I521,-3)/$X$2</f>
        <v>0</v>
      </c>
      <c r="I524" s="91">
        <f>+ROUND(Návrh!J521,-3)/$X$2</f>
        <v>0</v>
      </c>
      <c r="J524" s="91" t="e">
        <f>+ROUND(Návrh!#REF!,-3)/$X$2</f>
        <v>#REF!</v>
      </c>
      <c r="K524" s="91">
        <f>+ROUND(Návrh!K521,-3)/$X$2</f>
        <v>0</v>
      </c>
      <c r="L524" s="91">
        <f>+ROUND(Návrh!L521,-3)/$X$2</f>
        <v>0</v>
      </c>
      <c r="M524" s="67"/>
    </row>
    <row r="525" spans="1:13" x14ac:dyDescent="0.25">
      <c r="A525" s="38" t="s">
        <v>537</v>
      </c>
      <c r="B525" s="38"/>
      <c r="C525" s="22"/>
      <c r="D525" s="22"/>
      <c r="E525" s="385" t="s">
        <v>538</v>
      </c>
      <c r="F525" s="386"/>
      <c r="G525" s="91">
        <f>+ROUND(Návrh!H522,-3)/$X$2</f>
        <v>-958</v>
      </c>
      <c r="H525" s="91">
        <f>+ROUND(Návrh!I522,-3)/$X$2</f>
        <v>-548</v>
      </c>
      <c r="I525" s="91">
        <f>+ROUND(Návrh!J522,-3)/$X$2</f>
        <v>0</v>
      </c>
      <c r="J525" s="91" t="e">
        <f>+ROUND(Návrh!#REF!,-3)/$X$2</f>
        <v>#REF!</v>
      </c>
      <c r="K525" s="91">
        <f>+ROUND(Návrh!K522,-3)/$X$2</f>
        <v>-286</v>
      </c>
      <c r="L525" s="91">
        <f>+ROUND(Návrh!L522,-3)/$X$2</f>
        <v>0</v>
      </c>
      <c r="M525" s="67"/>
    </row>
    <row r="526" spans="1:13" x14ac:dyDescent="0.25">
      <c r="A526" s="26" t="s">
        <v>1400</v>
      </c>
      <c r="B526" s="26"/>
      <c r="C526" s="23"/>
      <c r="D526" s="23"/>
      <c r="E526" s="379" t="s">
        <v>539</v>
      </c>
      <c r="F526" s="380"/>
      <c r="G526" s="92">
        <f>+ROUND(Návrh!H523,-3)/$X$2</f>
        <v>-23</v>
      </c>
      <c r="H526" s="92">
        <f>+ROUND(Návrh!I523,-3)/$X$2</f>
        <v>-4</v>
      </c>
      <c r="I526" s="92">
        <f>+ROUND(Návrh!J523,-3)/$X$2</f>
        <v>0</v>
      </c>
      <c r="J526" s="92" t="e">
        <f>+ROUND(Návrh!#REF!,-3)/$X$2</f>
        <v>#REF!</v>
      </c>
      <c r="K526" s="92">
        <f>+ROUND(Návrh!K523,-3)/$X$2</f>
        <v>-2</v>
      </c>
      <c r="L526" s="92">
        <f>+ROUND(Návrh!L523,-3)/$X$2</f>
        <v>0</v>
      </c>
      <c r="M526" s="67"/>
    </row>
    <row r="527" spans="1:13" x14ac:dyDescent="0.25">
      <c r="A527" s="42" t="s">
        <v>1401</v>
      </c>
      <c r="B527" s="14"/>
      <c r="C527" s="13"/>
      <c r="D527" s="13"/>
      <c r="E527" s="373" t="s">
        <v>540</v>
      </c>
      <c r="F527" s="374"/>
      <c r="G527" s="88">
        <f>+ROUND(Návrh!H524,-3)/$X$2</f>
        <v>-23</v>
      </c>
      <c r="H527" s="88">
        <f>+ROUND(Návrh!I524,-3)/$X$2</f>
        <v>-4</v>
      </c>
      <c r="I527" s="88">
        <f>+ROUND(Návrh!J524,-3)/$X$2</f>
        <v>0</v>
      </c>
      <c r="J527" s="88" t="e">
        <f>+ROUND(Návrh!#REF!,-3)/$X$2</f>
        <v>#REF!</v>
      </c>
      <c r="K527" s="88">
        <f>+ROUND(Návrh!K524,-3)/$X$2</f>
        <v>-2</v>
      </c>
      <c r="L527" s="88">
        <f>+ROUND(Návrh!L524,-3)/$X$2</f>
        <v>0</v>
      </c>
      <c r="M527" s="67"/>
    </row>
    <row r="528" spans="1:13" x14ac:dyDescent="0.25">
      <c r="A528" s="26" t="s">
        <v>1402</v>
      </c>
      <c r="B528" s="26"/>
      <c r="C528" s="23"/>
      <c r="D528" s="23"/>
      <c r="E528" s="379" t="s">
        <v>541</v>
      </c>
      <c r="F528" s="380"/>
      <c r="G528" s="92">
        <f>+ROUND(Návrh!H525,-3)/$X$2</f>
        <v>-934</v>
      </c>
      <c r="H528" s="92">
        <f>+ROUND(Návrh!I525,-3)/$X$2</f>
        <v>-543</v>
      </c>
      <c r="I528" s="92">
        <f>+ROUND(Návrh!J525,-3)/$X$2</f>
        <v>0</v>
      </c>
      <c r="J528" s="92" t="e">
        <f>+ROUND(Návrh!#REF!,-3)/$X$2</f>
        <v>#REF!</v>
      </c>
      <c r="K528" s="92">
        <f>+ROUND(Návrh!K525,-3)/$X$2</f>
        <v>-284</v>
      </c>
      <c r="L528" s="92">
        <f>+ROUND(Návrh!L525,-3)/$X$2</f>
        <v>0</v>
      </c>
      <c r="M528" s="67"/>
    </row>
    <row r="529" spans="1:13" x14ac:dyDescent="0.25">
      <c r="A529" s="42" t="s">
        <v>1403</v>
      </c>
      <c r="B529" s="14"/>
      <c r="C529" s="13"/>
      <c r="D529" s="13"/>
      <c r="E529" s="373" t="s">
        <v>542</v>
      </c>
      <c r="F529" s="374"/>
      <c r="G529" s="88">
        <f>+ROUND(Návrh!H526,-3)/$X$2</f>
        <v>-934</v>
      </c>
      <c r="H529" s="88">
        <f>+ROUND(Návrh!I526,-3)/$X$2</f>
        <v>-543</v>
      </c>
      <c r="I529" s="88">
        <f>+ROUND(Návrh!J526,-3)/$X$2</f>
        <v>0</v>
      </c>
      <c r="J529" s="88" t="e">
        <f>+ROUND(Návrh!#REF!,-3)/$X$2</f>
        <v>#REF!</v>
      </c>
      <c r="K529" s="88">
        <f>+ROUND(Návrh!K526,-3)/$X$2</f>
        <v>-284</v>
      </c>
      <c r="L529" s="88">
        <f>+ROUND(Návrh!L526,-3)/$X$2</f>
        <v>0</v>
      </c>
      <c r="M529" s="67"/>
    </row>
    <row r="530" spans="1:13" x14ac:dyDescent="0.25">
      <c r="A530" s="38" t="s">
        <v>543</v>
      </c>
      <c r="B530" s="38"/>
      <c r="C530" s="22"/>
      <c r="D530" s="22"/>
      <c r="E530" s="385" t="s">
        <v>544</v>
      </c>
      <c r="F530" s="386"/>
      <c r="G530" s="91">
        <f>+ROUND(Návrh!H527,-3)/$X$2</f>
        <v>-46717</v>
      </c>
      <c r="H530" s="91">
        <f>+ROUND(Návrh!I527,-3)/$X$2</f>
        <v>-44728</v>
      </c>
      <c r="I530" s="91">
        <f>+ROUND(Návrh!J527,-3)/$X$2</f>
        <v>-49291</v>
      </c>
      <c r="J530" s="91" t="e">
        <f>+ROUND(Návrh!#REF!,-3)/$X$2</f>
        <v>#REF!</v>
      </c>
      <c r="K530" s="91">
        <f>+ROUND(Návrh!K527,-3)/$X$2</f>
        <v>-29316</v>
      </c>
      <c r="L530" s="91">
        <f>+ROUND(Návrh!L527,-3)/$X$2</f>
        <v>-60146</v>
      </c>
      <c r="M530" s="67"/>
    </row>
    <row r="531" spans="1:13" x14ac:dyDescent="0.25">
      <c r="A531" s="26" t="s">
        <v>1404</v>
      </c>
      <c r="B531" s="26"/>
      <c r="C531" s="23"/>
      <c r="D531" s="23"/>
      <c r="E531" s="379" t="s">
        <v>545</v>
      </c>
      <c r="F531" s="380"/>
      <c r="G531" s="92">
        <f>+ROUND(Návrh!H528,-3)/$X$2</f>
        <v>38</v>
      </c>
      <c r="H531" s="92">
        <f>+ROUND(Návrh!I528,-3)/$X$2</f>
        <v>8</v>
      </c>
      <c r="I531" s="92">
        <f>+ROUND(Návrh!J528,-3)/$X$2</f>
        <v>0</v>
      </c>
      <c r="J531" s="92" t="e">
        <f>+ROUND(Návrh!#REF!,-3)/$X$2</f>
        <v>#REF!</v>
      </c>
      <c r="K531" s="92">
        <f>+ROUND(Návrh!K528,-3)/$X$2</f>
        <v>11</v>
      </c>
      <c r="L531" s="92">
        <f>+ROUND(Návrh!L528,-3)/$X$2</f>
        <v>0</v>
      </c>
      <c r="M531" s="67"/>
    </row>
    <row r="532" spans="1:13" x14ac:dyDescent="0.25">
      <c r="A532" s="42" t="s">
        <v>1405</v>
      </c>
      <c r="B532" s="14"/>
      <c r="C532" s="13"/>
      <c r="D532" s="13"/>
      <c r="E532" s="373" t="s">
        <v>546</v>
      </c>
      <c r="F532" s="374"/>
      <c r="G532" s="88">
        <f>+ROUND(Návrh!H529,-3)/$X$2</f>
        <v>38</v>
      </c>
      <c r="H532" s="88">
        <f>+ROUND(Návrh!I529,-3)/$X$2</f>
        <v>8</v>
      </c>
      <c r="I532" s="88">
        <f>+ROUND(Návrh!J529,-3)/$X$2</f>
        <v>0</v>
      </c>
      <c r="J532" s="88" t="e">
        <f>+ROUND(Návrh!#REF!,-3)/$X$2</f>
        <v>#REF!</v>
      </c>
      <c r="K532" s="88">
        <f>+ROUND(Návrh!K529,-3)/$X$2</f>
        <v>11</v>
      </c>
      <c r="L532" s="88">
        <f>+ROUND(Návrh!L529,-3)/$X$2</f>
        <v>0</v>
      </c>
      <c r="M532" s="67"/>
    </row>
    <row r="533" spans="1:13" x14ac:dyDescent="0.25">
      <c r="A533" s="26" t="s">
        <v>1406</v>
      </c>
      <c r="B533" s="26"/>
      <c r="C533" s="23"/>
      <c r="D533" s="23"/>
      <c r="E533" s="379" t="s">
        <v>547</v>
      </c>
      <c r="F533" s="380"/>
      <c r="G533" s="92">
        <f>+ROUND(Návrh!H530,-3)/$X$2</f>
        <v>-27148</v>
      </c>
      <c r="H533" s="92">
        <f>+ROUND(Návrh!I530,-3)/$X$2</f>
        <v>-21872</v>
      </c>
      <c r="I533" s="92">
        <f>+ROUND(Návrh!J530,-3)/$X$2</f>
        <v>-20954</v>
      </c>
      <c r="J533" s="92" t="e">
        <f>+ROUND(Návrh!#REF!,-3)/$X$2</f>
        <v>#REF!</v>
      </c>
      <c r="K533" s="92">
        <f>+ROUND(Návrh!K530,-3)/$X$2</f>
        <v>-13913</v>
      </c>
      <c r="L533" s="92">
        <f>+ROUND(Návrh!L530,-3)/$X$2</f>
        <v>-30000</v>
      </c>
      <c r="M533" s="67"/>
    </row>
    <row r="534" spans="1:13" x14ac:dyDescent="0.25">
      <c r="A534" s="42" t="s">
        <v>1407</v>
      </c>
      <c r="B534" s="20" t="s">
        <v>922</v>
      </c>
      <c r="C534" s="20" t="s">
        <v>920</v>
      </c>
      <c r="D534" s="20" t="s">
        <v>1433</v>
      </c>
      <c r="E534" s="373" t="s">
        <v>548</v>
      </c>
      <c r="F534" s="374"/>
      <c r="G534" s="88">
        <f>+ROUND(Návrh!H531,-3)/$X$2</f>
        <v>-25228</v>
      </c>
      <c r="H534" s="88">
        <f>+ROUND(Návrh!I531,-3)/$X$2</f>
        <v>-20058</v>
      </c>
      <c r="I534" s="88">
        <f>+ROUND(Návrh!J531,-3)/$X$2</f>
        <v>-20954</v>
      </c>
      <c r="J534" s="88" t="e">
        <f>+ROUND(Návrh!#REF!,-3)/$X$2</f>
        <v>#REF!</v>
      </c>
      <c r="K534" s="88">
        <f>+ROUND(Návrh!K531,-3)/$X$2</f>
        <v>-10865</v>
      </c>
      <c r="L534" s="88">
        <f>+ROUND(Návrh!L531,-3)/$X$2</f>
        <v>-30000</v>
      </c>
      <c r="M534" s="67"/>
    </row>
    <row r="535" spans="1:13" x14ac:dyDescent="0.25">
      <c r="A535" s="42" t="s">
        <v>1408</v>
      </c>
      <c r="B535" s="28" t="s">
        <v>922</v>
      </c>
      <c r="C535" s="20" t="s">
        <v>920</v>
      </c>
      <c r="D535" s="20" t="s">
        <v>1433</v>
      </c>
      <c r="E535" s="373" t="s">
        <v>549</v>
      </c>
      <c r="F535" s="374"/>
      <c r="G535" s="88">
        <f>+ROUND(Návrh!H532,-3)/$X$2</f>
        <v>-1576</v>
      </c>
      <c r="H535" s="88">
        <f>+ROUND(Návrh!I532,-3)/$X$2</f>
        <v>-1580</v>
      </c>
      <c r="I535" s="88">
        <f>+ROUND(Návrh!J532,-3)/$X$2</f>
        <v>0</v>
      </c>
      <c r="J535" s="88" t="e">
        <f>+ROUND(Návrh!#REF!,-3)/$X$2</f>
        <v>#REF!</v>
      </c>
      <c r="K535" s="88">
        <f>+ROUND(Návrh!K532,-3)/$X$2</f>
        <v>-2723</v>
      </c>
      <c r="L535" s="88">
        <f>+ROUND(Návrh!L532,-3)/$X$2</f>
        <v>0</v>
      </c>
      <c r="M535" s="67"/>
    </row>
    <row r="536" spans="1:13" x14ac:dyDescent="0.25">
      <c r="A536" s="42" t="s">
        <v>1409</v>
      </c>
      <c r="B536" s="14"/>
      <c r="C536" s="13"/>
      <c r="D536" s="13"/>
      <c r="E536" s="373" t="s">
        <v>550</v>
      </c>
      <c r="F536" s="374"/>
      <c r="G536" s="88">
        <f>+ROUND(Návrh!H533,-3)/$X$2</f>
        <v>-242</v>
      </c>
      <c r="H536" s="88">
        <f>+ROUND(Návrh!I533,-3)/$X$2</f>
        <v>-150</v>
      </c>
      <c r="I536" s="88">
        <f>+ROUND(Návrh!J533,-3)/$X$2</f>
        <v>0</v>
      </c>
      <c r="J536" s="88" t="e">
        <f>+ROUND(Návrh!#REF!,-3)/$X$2</f>
        <v>#REF!</v>
      </c>
      <c r="K536" s="88">
        <f>+ROUND(Návrh!K533,-3)/$X$2</f>
        <v>-296</v>
      </c>
      <c r="L536" s="88">
        <f>+ROUND(Návrh!L533,-3)/$X$2</f>
        <v>0</v>
      </c>
      <c r="M536" s="67"/>
    </row>
    <row r="537" spans="1:13" x14ac:dyDescent="0.25">
      <c r="A537" s="42" t="s">
        <v>1410</v>
      </c>
      <c r="B537" s="14"/>
      <c r="C537" s="13"/>
      <c r="D537" s="13"/>
      <c r="E537" s="373" t="s">
        <v>551</v>
      </c>
      <c r="F537" s="374"/>
      <c r="G537" s="88">
        <f>+ROUND(Návrh!H534,-3)/$X$2</f>
        <v>-103</v>
      </c>
      <c r="H537" s="88">
        <f>+ROUND(Návrh!I534,-3)/$X$2</f>
        <v>-84</v>
      </c>
      <c r="I537" s="88">
        <f>+ROUND(Návrh!J534,-3)/$X$2</f>
        <v>0</v>
      </c>
      <c r="J537" s="88" t="e">
        <f>+ROUND(Návrh!#REF!,-3)/$X$2</f>
        <v>#REF!</v>
      </c>
      <c r="K537" s="88">
        <f>+ROUND(Návrh!K534,-3)/$X$2</f>
        <v>-29</v>
      </c>
      <c r="L537" s="88">
        <f>+ROUND(Návrh!L534,-3)/$X$2</f>
        <v>0</v>
      </c>
      <c r="M537" s="67"/>
    </row>
    <row r="538" spans="1:13" x14ac:dyDescent="0.25">
      <c r="A538" s="26" t="s">
        <v>1411</v>
      </c>
      <c r="B538" s="26"/>
      <c r="C538" s="23"/>
      <c r="D538" s="23"/>
      <c r="E538" s="379" t="s">
        <v>552</v>
      </c>
      <c r="F538" s="380"/>
      <c r="G538" s="92">
        <f>+ROUND(Návrh!H535,-3)/$X$2</f>
        <v>-3623</v>
      </c>
      <c r="H538" s="92">
        <f>+ROUND(Návrh!I535,-3)/$X$2</f>
        <v>-1720</v>
      </c>
      <c r="I538" s="92">
        <f>+ROUND(Návrh!J535,-3)/$X$2</f>
        <v>-1580</v>
      </c>
      <c r="J538" s="92" t="e">
        <f>+ROUND(Návrh!#REF!,-3)/$X$2</f>
        <v>#REF!</v>
      </c>
      <c r="K538" s="92">
        <f>+ROUND(Návrh!K535,-3)/$X$2</f>
        <v>-1894</v>
      </c>
      <c r="L538" s="92">
        <f>+ROUND(Návrh!L535,-3)/$X$2</f>
        <v>-1605</v>
      </c>
      <c r="M538" s="67"/>
    </row>
    <row r="539" spans="1:13" x14ac:dyDescent="0.25">
      <c r="A539" s="42" t="s">
        <v>1412</v>
      </c>
      <c r="B539" s="28" t="s">
        <v>916</v>
      </c>
      <c r="C539" s="28" t="s">
        <v>923</v>
      </c>
      <c r="D539" s="28" t="s">
        <v>1037</v>
      </c>
      <c r="E539" s="373" t="s">
        <v>553</v>
      </c>
      <c r="F539" s="374"/>
      <c r="G539" s="88">
        <f>+ROUND(Návrh!H536,-3)/$X$2</f>
        <v>-655</v>
      </c>
      <c r="H539" s="88">
        <f>+ROUND(Návrh!I536,-3)/$X$2</f>
        <v>-783</v>
      </c>
      <c r="I539" s="88">
        <f>+ROUND(Návrh!J536,-3)/$X$2</f>
        <v>-860</v>
      </c>
      <c r="J539" s="88" t="e">
        <f>+ROUND(Návrh!#REF!,-3)/$X$2</f>
        <v>#REF!</v>
      </c>
      <c r="K539" s="88">
        <f>+ROUND(Návrh!K536,-3)/$X$2</f>
        <v>-920</v>
      </c>
      <c r="L539" s="88">
        <f>+ROUND(Návrh!L536,-3)/$X$2</f>
        <v>-860</v>
      </c>
      <c r="M539" s="67"/>
    </row>
    <row r="540" spans="1:13" x14ac:dyDescent="0.25">
      <c r="A540" s="42" t="s">
        <v>1413</v>
      </c>
      <c r="B540" s="28" t="s">
        <v>916</v>
      </c>
      <c r="C540" s="28" t="s">
        <v>923</v>
      </c>
      <c r="D540" s="28" t="s">
        <v>1037</v>
      </c>
      <c r="E540" s="373" t="s">
        <v>554</v>
      </c>
      <c r="F540" s="374"/>
      <c r="G540" s="88">
        <f>+ROUND(Návrh!H537,-3)/$X$2</f>
        <v>-491</v>
      </c>
      <c r="H540" s="88">
        <f>+ROUND(Návrh!I537,-3)/$X$2</f>
        <v>-333</v>
      </c>
      <c r="I540" s="88">
        <f>+ROUND(Návrh!J537,-3)/$X$2</f>
        <v>-480</v>
      </c>
      <c r="J540" s="88" t="e">
        <f>+ROUND(Návrh!#REF!,-3)/$X$2</f>
        <v>#REF!</v>
      </c>
      <c r="K540" s="88">
        <f>+ROUND(Návrh!K537,-3)/$X$2</f>
        <v>-597</v>
      </c>
      <c r="L540" s="88">
        <f>+ROUND(Návrh!L537,-3)/$X$2</f>
        <v>-510</v>
      </c>
      <c r="M540" s="67"/>
    </row>
    <row r="541" spans="1:13" x14ac:dyDescent="0.25">
      <c r="A541" s="42" t="s">
        <v>1414</v>
      </c>
      <c r="B541" s="28" t="s">
        <v>916</v>
      </c>
      <c r="C541" s="28" t="s">
        <v>923</v>
      </c>
      <c r="D541" s="28" t="s">
        <v>1037</v>
      </c>
      <c r="E541" s="373" t="s">
        <v>555</v>
      </c>
      <c r="F541" s="374"/>
      <c r="G541" s="88">
        <f>+ROUND(Návrh!H538,-3)/$X$2</f>
        <v>-100</v>
      </c>
      <c r="H541" s="88">
        <f>+ROUND(Návrh!I538,-3)/$X$2</f>
        <v>-214</v>
      </c>
      <c r="I541" s="88">
        <f>+ROUND(Návrh!J538,-3)/$X$2</f>
        <v>-205</v>
      </c>
      <c r="J541" s="88" t="e">
        <f>+ROUND(Návrh!#REF!,-3)/$X$2</f>
        <v>#REF!</v>
      </c>
      <c r="K541" s="88">
        <f>+ROUND(Návrh!K538,-3)/$X$2</f>
        <v>-151</v>
      </c>
      <c r="L541" s="88">
        <f>+ROUND(Návrh!L538,-3)/$X$2</f>
        <v>-200</v>
      </c>
      <c r="M541" s="67"/>
    </row>
    <row r="542" spans="1:13" x14ac:dyDescent="0.25">
      <c r="A542" s="42" t="s">
        <v>1415</v>
      </c>
      <c r="B542" s="28" t="s">
        <v>916</v>
      </c>
      <c r="C542" s="28" t="s">
        <v>923</v>
      </c>
      <c r="D542" s="28" t="s">
        <v>1037</v>
      </c>
      <c r="E542" s="373" t="s">
        <v>556</v>
      </c>
      <c r="F542" s="374"/>
      <c r="G542" s="88">
        <f>+ROUND(Návrh!H539,-3)/$X$2</f>
        <v>-2275</v>
      </c>
      <c r="H542" s="88">
        <f>+ROUND(Návrh!I539,-3)/$X$2</f>
        <v>-197</v>
      </c>
      <c r="I542" s="88">
        <f>+ROUND(Návrh!J539,-3)/$X$2</f>
        <v>0</v>
      </c>
      <c r="J542" s="88" t="e">
        <f>+ROUND(Návrh!#REF!,-3)/$X$2</f>
        <v>#REF!</v>
      </c>
      <c r="K542" s="88">
        <f>+ROUND(Návrh!K539,-3)/$X$2</f>
        <v>-138</v>
      </c>
      <c r="L542" s="88">
        <f>+ROUND(Návrh!L539,-3)/$X$2</f>
        <v>0</v>
      </c>
      <c r="M542" s="67"/>
    </row>
    <row r="543" spans="1:13" x14ac:dyDescent="0.25">
      <c r="A543" s="42" t="s">
        <v>1416</v>
      </c>
      <c r="B543" s="28" t="s">
        <v>916</v>
      </c>
      <c r="C543" s="28" t="s">
        <v>923</v>
      </c>
      <c r="D543" s="28" t="s">
        <v>1037</v>
      </c>
      <c r="E543" s="373" t="s">
        <v>557</v>
      </c>
      <c r="F543" s="374"/>
      <c r="G543" s="88">
        <f>+ROUND(Návrh!H540,-3)/$X$2</f>
        <v>-58</v>
      </c>
      <c r="H543" s="88">
        <f>+ROUND(Návrh!I540,-3)/$X$2</f>
        <v>-145</v>
      </c>
      <c r="I543" s="88">
        <f>+ROUND(Návrh!J540,-3)/$X$2</f>
        <v>-35</v>
      </c>
      <c r="J543" s="88" t="e">
        <f>+ROUND(Návrh!#REF!,-3)/$X$2</f>
        <v>#REF!</v>
      </c>
      <c r="K543" s="88">
        <f>+ROUND(Návrh!K540,-3)/$X$2</f>
        <v>-65</v>
      </c>
      <c r="L543" s="88">
        <f>+ROUND(Návrh!L540,-3)/$X$2</f>
        <v>-35</v>
      </c>
      <c r="M543" s="67"/>
    </row>
    <row r="544" spans="1:13" x14ac:dyDescent="0.25">
      <c r="A544" s="42" t="s">
        <v>1417</v>
      </c>
      <c r="B544" s="14"/>
      <c r="C544" s="13"/>
      <c r="D544" s="13"/>
      <c r="E544" s="373" t="s">
        <v>558</v>
      </c>
      <c r="F544" s="374"/>
      <c r="G544" s="88">
        <f>+ROUND(Návrh!H541,-3)/$X$2</f>
        <v>-23</v>
      </c>
      <c r="H544" s="88">
        <f>+ROUND(Návrh!I541,-3)/$X$2</f>
        <v>-22</v>
      </c>
      <c r="I544" s="88">
        <f>+ROUND(Návrh!J541,-3)/$X$2</f>
        <v>0</v>
      </c>
      <c r="J544" s="88" t="e">
        <f>+ROUND(Návrh!#REF!,-3)/$X$2</f>
        <v>#REF!</v>
      </c>
      <c r="K544" s="88">
        <f>+ROUND(Návrh!K541,-3)/$X$2</f>
        <v>-15</v>
      </c>
      <c r="L544" s="88">
        <f>+ROUND(Návrh!L541,-3)/$X$2</f>
        <v>0</v>
      </c>
      <c r="M544" s="67"/>
    </row>
    <row r="545" spans="1:13" x14ac:dyDescent="0.25">
      <c r="A545" s="42" t="s">
        <v>1418</v>
      </c>
      <c r="B545" s="14"/>
      <c r="C545" s="13"/>
      <c r="D545" s="13"/>
      <c r="E545" s="373" t="s">
        <v>559</v>
      </c>
      <c r="F545" s="374"/>
      <c r="G545" s="88">
        <f>+ROUND(Návrh!H542,-3)/$X$2</f>
        <v>-20</v>
      </c>
      <c r="H545" s="88">
        <f>+ROUND(Návrh!I542,-3)/$X$2</f>
        <v>-25</v>
      </c>
      <c r="I545" s="88">
        <f>+ROUND(Návrh!J542,-3)/$X$2</f>
        <v>0</v>
      </c>
      <c r="J545" s="88" t="e">
        <f>+ROUND(Návrh!#REF!,-3)/$X$2</f>
        <v>#REF!</v>
      </c>
      <c r="K545" s="88">
        <f>+ROUND(Návrh!K542,-3)/$X$2</f>
        <v>-7</v>
      </c>
      <c r="L545" s="88">
        <f>+ROUND(Návrh!L542,-3)/$X$2</f>
        <v>0</v>
      </c>
      <c r="M545" s="67"/>
    </row>
    <row r="546" spans="1:13" x14ac:dyDescent="0.25">
      <c r="A546" s="26" t="s">
        <v>1419</v>
      </c>
      <c r="B546" s="26"/>
      <c r="C546" s="23"/>
      <c r="D546" s="23"/>
      <c r="E546" s="379" t="s">
        <v>560</v>
      </c>
      <c r="F546" s="380"/>
      <c r="G546" s="92">
        <f>+ROUND(Návrh!H543,-3)/$X$2</f>
        <v>-7019</v>
      </c>
      <c r="H546" s="92">
        <f>+ROUND(Návrh!I543,-3)/$X$2</f>
        <v>-6623</v>
      </c>
      <c r="I546" s="92">
        <f>+ROUND(Návrh!J543,-3)/$X$2</f>
        <v>-14897</v>
      </c>
      <c r="J546" s="92" t="e">
        <f>+ROUND(Návrh!#REF!,-3)/$X$2</f>
        <v>#REF!</v>
      </c>
      <c r="K546" s="92">
        <f>+ROUND(Návrh!K543,-3)/$X$2</f>
        <v>-6631</v>
      </c>
      <c r="L546" s="92">
        <f>+ROUND(Návrh!L543,-3)/$X$2</f>
        <v>-10043</v>
      </c>
      <c r="M546" s="67"/>
    </row>
    <row r="547" spans="1:13" x14ac:dyDescent="0.25">
      <c r="A547" s="42" t="s">
        <v>1420</v>
      </c>
      <c r="B547" s="20" t="s">
        <v>1654</v>
      </c>
      <c r="C547" s="28" t="s">
        <v>919</v>
      </c>
      <c r="D547" s="20" t="s">
        <v>1655</v>
      </c>
      <c r="E547" s="373" t="s">
        <v>561</v>
      </c>
      <c r="F547" s="374"/>
      <c r="G547" s="88">
        <f>+ROUND(Návrh!H544,-3)/$X$2</f>
        <v>-6416</v>
      </c>
      <c r="H547" s="88">
        <f>+ROUND(Návrh!I544,-3)/$X$2</f>
        <v>-5917</v>
      </c>
      <c r="I547" s="88">
        <f>+ROUND(Návrh!J544,-3)/$X$2</f>
        <v>-14027</v>
      </c>
      <c r="J547" s="88" t="e">
        <f>+ROUND(Návrh!#REF!,-3)/$X$2</f>
        <v>#REF!</v>
      </c>
      <c r="K547" s="88">
        <f>+ROUND(Návrh!K544,-3)/$X$2</f>
        <v>-6090</v>
      </c>
      <c r="L547" s="88">
        <f>+ROUND(Návrh!L544,-3)/$X$2</f>
        <v>-8931</v>
      </c>
      <c r="M547" s="67"/>
    </row>
    <row r="548" spans="1:13" x14ac:dyDescent="0.25">
      <c r="A548" s="42" t="s">
        <v>1421</v>
      </c>
      <c r="B548" s="20" t="s">
        <v>1654</v>
      </c>
      <c r="C548" s="28" t="s">
        <v>919</v>
      </c>
      <c r="D548" s="20" t="s">
        <v>1655</v>
      </c>
      <c r="E548" s="373" t="s">
        <v>562</v>
      </c>
      <c r="F548" s="374"/>
      <c r="G548" s="88">
        <f>+ROUND(Návrh!H545,-3)/$X$2</f>
        <v>-539</v>
      </c>
      <c r="H548" s="88">
        <f>+ROUND(Návrh!I545,-3)/$X$2</f>
        <v>-542</v>
      </c>
      <c r="I548" s="88">
        <f>+ROUND(Návrh!J545,-3)/$X$2</f>
        <v>-870</v>
      </c>
      <c r="J548" s="88" t="e">
        <f>+ROUND(Návrh!#REF!,-3)/$X$2</f>
        <v>#REF!</v>
      </c>
      <c r="K548" s="88">
        <f>+ROUND(Návrh!K545,-3)/$X$2</f>
        <v>-474</v>
      </c>
      <c r="L548" s="88">
        <f>+ROUND(Návrh!L545,-3)/$X$2</f>
        <v>-1112</v>
      </c>
      <c r="M548" s="67"/>
    </row>
    <row r="549" spans="1:13" x14ac:dyDescent="0.25">
      <c r="A549" s="42" t="s">
        <v>1422</v>
      </c>
      <c r="B549" s="14"/>
      <c r="C549" s="13"/>
      <c r="D549" s="13"/>
      <c r="E549" s="373" t="s">
        <v>563</v>
      </c>
      <c r="F549" s="374"/>
      <c r="G549" s="88">
        <f>+ROUND(Návrh!H546,-3)/$X$2</f>
        <v>-64</v>
      </c>
      <c r="H549" s="88">
        <f>+ROUND(Návrh!I546,-3)/$X$2</f>
        <v>-33</v>
      </c>
      <c r="I549" s="88">
        <f>+ROUND(Návrh!J546,-3)/$X$2</f>
        <v>0</v>
      </c>
      <c r="J549" s="88" t="e">
        <f>+ROUND(Návrh!#REF!,-3)/$X$2</f>
        <v>#REF!</v>
      </c>
      <c r="K549" s="88">
        <f>+ROUND(Návrh!K546,-3)/$X$2</f>
        <v>-60</v>
      </c>
      <c r="L549" s="88">
        <f>+ROUND(Návrh!L546,-3)/$X$2</f>
        <v>0</v>
      </c>
      <c r="M549" s="67"/>
    </row>
    <row r="550" spans="1:13" x14ac:dyDescent="0.25">
      <c r="A550" s="42" t="s">
        <v>1423</v>
      </c>
      <c r="B550" s="14"/>
      <c r="C550" s="13"/>
      <c r="D550" s="13"/>
      <c r="E550" s="373" t="s">
        <v>564</v>
      </c>
      <c r="F550" s="374"/>
      <c r="G550" s="88">
        <f>+ROUND(Návrh!H547,-3)/$X$2</f>
        <v>0</v>
      </c>
      <c r="H550" s="88">
        <f>+ROUND(Návrh!I547,-3)/$X$2</f>
        <v>-132</v>
      </c>
      <c r="I550" s="88">
        <f>+ROUND(Návrh!J547,-3)/$X$2</f>
        <v>0</v>
      </c>
      <c r="J550" s="88" t="e">
        <f>+ROUND(Návrh!#REF!,-3)/$X$2</f>
        <v>#REF!</v>
      </c>
      <c r="K550" s="88">
        <f>+ROUND(Návrh!K547,-3)/$X$2</f>
        <v>-7</v>
      </c>
      <c r="L550" s="88">
        <f>+ROUND(Návrh!L547,-3)/$X$2</f>
        <v>0</v>
      </c>
      <c r="M550" s="67"/>
    </row>
    <row r="551" spans="1:13" x14ac:dyDescent="0.25">
      <c r="A551" s="26" t="s">
        <v>1424</v>
      </c>
      <c r="B551" s="26"/>
      <c r="C551" s="23"/>
      <c r="D551" s="23"/>
      <c r="E551" s="379" t="s">
        <v>565</v>
      </c>
      <c r="F551" s="380"/>
      <c r="G551" s="92">
        <f>+ROUND(Návrh!H548,-3)/$X$2</f>
        <v>-7133</v>
      </c>
      <c r="H551" s="92">
        <f>+ROUND(Návrh!I548,-3)/$X$2</f>
        <v>-12386</v>
      </c>
      <c r="I551" s="92">
        <f>+ROUND(Návrh!J548,-3)/$X$2</f>
        <v>-9150</v>
      </c>
      <c r="J551" s="92" t="e">
        <f>+ROUND(Návrh!#REF!,-3)/$X$2</f>
        <v>#REF!</v>
      </c>
      <c r="K551" s="92">
        <f>+ROUND(Návrh!K548,-3)/$X$2</f>
        <v>-6002</v>
      </c>
      <c r="L551" s="92">
        <f>+ROUND(Návrh!L548,-3)/$X$2</f>
        <v>-13850</v>
      </c>
      <c r="M551" s="67"/>
    </row>
    <row r="552" spans="1:13" x14ac:dyDescent="0.25">
      <c r="A552" s="42" t="s">
        <v>1425</v>
      </c>
      <c r="B552" s="28" t="s">
        <v>916</v>
      </c>
      <c r="C552" s="28" t="s">
        <v>923</v>
      </c>
      <c r="D552" s="28" t="s">
        <v>1037</v>
      </c>
      <c r="E552" s="373" t="s">
        <v>566</v>
      </c>
      <c r="F552" s="374"/>
      <c r="G552" s="88">
        <f>+ROUND(Návrh!H549,-3)/$X$2</f>
        <v>-7</v>
      </c>
      <c r="H552" s="88">
        <f>+ROUND(Návrh!I549,-3)/$X$2</f>
        <v>-909</v>
      </c>
      <c r="I552" s="88">
        <f>+ROUND(Návrh!J549,-3)/$X$2</f>
        <v>-150</v>
      </c>
      <c r="J552" s="88" t="e">
        <f>+ROUND(Návrh!#REF!,-3)/$X$2</f>
        <v>#REF!</v>
      </c>
      <c r="K552" s="88">
        <f>+ROUND(Návrh!K549,-3)/$X$2</f>
        <v>-672</v>
      </c>
      <c r="L552" s="88">
        <f>+ROUND(Návrh!L549,-3)/$X$2</f>
        <v>-350</v>
      </c>
      <c r="M552" s="67"/>
    </row>
    <row r="553" spans="1:13" x14ac:dyDescent="0.25">
      <c r="A553" s="42" t="s">
        <v>1426</v>
      </c>
      <c r="B553" s="28" t="s">
        <v>916</v>
      </c>
      <c r="C553" s="28" t="s">
        <v>923</v>
      </c>
      <c r="D553" s="28" t="s">
        <v>1037</v>
      </c>
      <c r="E553" s="373" t="s">
        <v>567</v>
      </c>
      <c r="F553" s="374"/>
      <c r="G553" s="88">
        <f>+ROUND(Návrh!H550,-3)/$X$2</f>
        <v>-7109</v>
      </c>
      <c r="H553" s="88">
        <f>+ROUND(Návrh!I550,-3)/$X$2</f>
        <v>-11407</v>
      </c>
      <c r="I553" s="88">
        <f>+ROUND(Návrh!J550,-3)/$X$2</f>
        <v>-9000</v>
      </c>
      <c r="J553" s="88" t="e">
        <f>+ROUND(Návrh!#REF!,-3)/$X$2</f>
        <v>#REF!</v>
      </c>
      <c r="K553" s="88">
        <f>+ROUND(Návrh!K550,-3)/$X$2</f>
        <v>-5182</v>
      </c>
      <c r="L553" s="88">
        <f>+ROUND(Návrh!L550,-3)/$X$2</f>
        <v>-13500</v>
      </c>
      <c r="M553" s="67"/>
    </row>
    <row r="554" spans="1:13" x14ac:dyDescent="0.25">
      <c r="A554" s="42" t="s">
        <v>1427</v>
      </c>
      <c r="B554" s="14"/>
      <c r="C554" s="13"/>
      <c r="D554" s="13"/>
      <c r="E554" s="373" t="s">
        <v>568</v>
      </c>
      <c r="F554" s="374"/>
      <c r="G554" s="88">
        <f>+ROUND(Návrh!H551,-3)/$X$2</f>
        <v>-4</v>
      </c>
      <c r="H554" s="88">
        <f>+ROUND(Návrh!I551,-3)/$X$2</f>
        <v>-70</v>
      </c>
      <c r="I554" s="88">
        <f>+ROUND(Návrh!J551,-3)/$X$2</f>
        <v>0</v>
      </c>
      <c r="J554" s="88" t="e">
        <f>+ROUND(Návrh!#REF!,-3)/$X$2</f>
        <v>#REF!</v>
      </c>
      <c r="K554" s="88">
        <f>+ROUND(Návrh!K551,-3)/$X$2</f>
        <v>-139</v>
      </c>
      <c r="L554" s="88">
        <f>+ROUND(Návrh!L551,-3)/$X$2</f>
        <v>0</v>
      </c>
      <c r="M554" s="67"/>
    </row>
    <row r="555" spans="1:13" x14ac:dyDescent="0.25">
      <c r="A555" s="42" t="s">
        <v>1428</v>
      </c>
      <c r="B555" s="14"/>
      <c r="C555" s="13"/>
      <c r="D555" s="13"/>
      <c r="E555" s="373" t="s">
        <v>569</v>
      </c>
      <c r="F555" s="374"/>
      <c r="G555" s="88">
        <f>+ROUND(Návrh!H552,-3)/$X$2</f>
        <v>-13</v>
      </c>
      <c r="H555" s="88">
        <f>+ROUND(Návrh!I552,-3)/$X$2</f>
        <v>0</v>
      </c>
      <c r="I555" s="88">
        <f>+ROUND(Návrh!J552,-3)/$X$2</f>
        <v>0</v>
      </c>
      <c r="J555" s="88" t="e">
        <f>+ROUND(Návrh!#REF!,-3)/$X$2</f>
        <v>#REF!</v>
      </c>
      <c r="K555" s="88">
        <f>+ROUND(Návrh!K552,-3)/$X$2</f>
        <v>-10</v>
      </c>
      <c r="L555" s="88">
        <f>+ROUND(Návrh!L552,-3)/$X$2</f>
        <v>0</v>
      </c>
      <c r="M555" s="67"/>
    </row>
    <row r="556" spans="1:13" x14ac:dyDescent="0.25">
      <c r="A556" s="26" t="s">
        <v>1434</v>
      </c>
      <c r="B556" s="26"/>
      <c r="C556" s="23"/>
      <c r="D556" s="23"/>
      <c r="E556" s="379" t="s">
        <v>570</v>
      </c>
      <c r="F556" s="380"/>
      <c r="G556" s="92">
        <f>+ROUND(Návrh!H553,-3)/$X$2</f>
        <v>-1573</v>
      </c>
      <c r="H556" s="92">
        <f>+ROUND(Návrh!I553,-3)/$X$2</f>
        <v>-1861</v>
      </c>
      <c r="I556" s="92">
        <f>+ROUND(Návrh!J553,-3)/$X$2</f>
        <v>-1500</v>
      </c>
      <c r="J556" s="92" t="e">
        <f>+ROUND(Návrh!#REF!,-3)/$X$2</f>
        <v>#REF!</v>
      </c>
      <c r="K556" s="92">
        <f>+ROUND(Návrh!K553,-3)/$X$2</f>
        <v>-773</v>
      </c>
      <c r="L556" s="92">
        <f>+ROUND(Návrh!L553,-3)/$X$2</f>
        <v>-1000</v>
      </c>
      <c r="M556" s="67"/>
    </row>
    <row r="557" spans="1:13" x14ac:dyDescent="0.25">
      <c r="A557" s="42" t="s">
        <v>1429</v>
      </c>
      <c r="B557" s="28" t="s">
        <v>916</v>
      </c>
      <c r="C557" s="28" t="s">
        <v>923</v>
      </c>
      <c r="D557" s="28" t="s">
        <v>1037</v>
      </c>
      <c r="E557" s="373" t="s">
        <v>571</v>
      </c>
      <c r="F557" s="374"/>
      <c r="G557" s="88">
        <f>+ROUND(Návrh!H554,-3)/$X$2</f>
        <v>-1222</v>
      </c>
      <c r="H557" s="88">
        <f>+ROUND(Návrh!I554,-3)/$X$2</f>
        <v>-1811</v>
      </c>
      <c r="I557" s="88">
        <f>+ROUND(Návrh!J554,-3)/$X$2</f>
        <v>-1500</v>
      </c>
      <c r="J557" s="88" t="e">
        <f>+ROUND(Návrh!#REF!,-3)/$X$2</f>
        <v>#REF!</v>
      </c>
      <c r="K557" s="88">
        <f>+ROUND(Návrh!K554,-3)/$X$2</f>
        <v>-739</v>
      </c>
      <c r="L557" s="88">
        <f>+ROUND(Návrh!L554,-3)/$X$2</f>
        <v>-1000</v>
      </c>
      <c r="M557" s="67"/>
    </row>
    <row r="558" spans="1:13" x14ac:dyDescent="0.25">
      <c r="A558" s="42" t="s">
        <v>1430</v>
      </c>
      <c r="B558" s="14"/>
      <c r="C558" s="13"/>
      <c r="D558" s="13"/>
      <c r="E558" s="373" t="s">
        <v>572</v>
      </c>
      <c r="F558" s="374"/>
      <c r="G558" s="88">
        <f>+ROUND(Návrh!H555,-3)/$X$2</f>
        <v>-321</v>
      </c>
      <c r="H558" s="88">
        <f>+ROUND(Návrh!I555,-3)/$X$2</f>
        <v>-14</v>
      </c>
      <c r="I558" s="88">
        <f>+ROUND(Návrh!J555,-3)/$X$2</f>
        <v>0</v>
      </c>
      <c r="J558" s="88" t="e">
        <f>+ROUND(Návrh!#REF!,-3)/$X$2</f>
        <v>#REF!</v>
      </c>
      <c r="K558" s="88">
        <f>+ROUND(Návrh!K555,-3)/$X$2</f>
        <v>-33</v>
      </c>
      <c r="L558" s="88">
        <f>+ROUND(Návrh!L555,-3)/$X$2</f>
        <v>0</v>
      </c>
      <c r="M558" s="67"/>
    </row>
    <row r="559" spans="1:13" x14ac:dyDescent="0.25">
      <c r="A559" s="42" t="s">
        <v>1431</v>
      </c>
      <c r="B559" s="14"/>
      <c r="C559" s="13"/>
      <c r="D559" s="13"/>
      <c r="E559" s="373" t="s">
        <v>573</v>
      </c>
      <c r="F559" s="374"/>
      <c r="G559" s="88">
        <f>+ROUND(Návrh!H556,-3)/$X$2</f>
        <v>-30</v>
      </c>
      <c r="H559" s="88">
        <f>+ROUND(Návrh!I556,-3)/$X$2</f>
        <v>-35</v>
      </c>
      <c r="I559" s="88">
        <f>+ROUND(Návrh!J556,-3)/$X$2</f>
        <v>0</v>
      </c>
      <c r="J559" s="88" t="e">
        <f>+ROUND(Návrh!#REF!,-3)/$X$2</f>
        <v>#REF!</v>
      </c>
      <c r="K559" s="88">
        <f>+ROUND(Návrh!K556,-3)/$X$2</f>
        <v>0</v>
      </c>
      <c r="L559" s="88">
        <f>+ROUND(Návrh!L556,-3)/$X$2</f>
        <v>0</v>
      </c>
      <c r="M559" s="67"/>
    </row>
    <row r="560" spans="1:13" x14ac:dyDescent="0.25">
      <c r="A560" s="26" t="s">
        <v>1435</v>
      </c>
      <c r="B560" s="26"/>
      <c r="C560" s="23"/>
      <c r="D560" s="23"/>
      <c r="E560" s="379" t="s">
        <v>574</v>
      </c>
      <c r="F560" s="380"/>
      <c r="G560" s="92">
        <f>+ROUND(Návrh!H557,-3)/$X$2</f>
        <v>-221</v>
      </c>
      <c r="H560" s="92">
        <f>+ROUND(Návrh!I557,-3)/$X$2</f>
        <v>-265</v>
      </c>
      <c r="I560" s="92">
        <f>+ROUND(Návrh!J557,-3)/$X$2</f>
        <v>-1211</v>
      </c>
      <c r="J560" s="92" t="e">
        <f>+ROUND(Návrh!#REF!,-3)/$X$2</f>
        <v>#REF!</v>
      </c>
      <c r="K560" s="92">
        <f>+ROUND(Návrh!K557,-3)/$X$2</f>
        <v>-103</v>
      </c>
      <c r="L560" s="92">
        <f>+ROUND(Návrh!L557,-3)/$X$2</f>
        <v>-3648</v>
      </c>
      <c r="M560" s="67"/>
    </row>
    <row r="561" spans="1:13" x14ac:dyDescent="0.25">
      <c r="A561" s="42" t="s">
        <v>1436</v>
      </c>
      <c r="B561" s="20" t="s">
        <v>1654</v>
      </c>
      <c r="C561" s="28" t="s">
        <v>919</v>
      </c>
      <c r="D561" s="20" t="s">
        <v>1656</v>
      </c>
      <c r="E561" s="373" t="s">
        <v>575</v>
      </c>
      <c r="F561" s="374"/>
      <c r="G561" s="88">
        <f>+ROUND(Návrh!H558,-3)/$X$2</f>
        <v>-215</v>
      </c>
      <c r="H561" s="88">
        <f>+ROUND(Návrh!I558,-3)/$X$2</f>
        <v>-248</v>
      </c>
      <c r="I561" s="88">
        <f>+ROUND(Návrh!J558,-3)/$X$2</f>
        <v>-1211</v>
      </c>
      <c r="J561" s="88" t="e">
        <f>+ROUND(Návrh!#REF!,-3)/$X$2</f>
        <v>#REF!</v>
      </c>
      <c r="K561" s="88">
        <f>+ROUND(Návrh!K558,-3)/$X$2</f>
        <v>-103</v>
      </c>
      <c r="L561" s="88">
        <f>+ROUND(Návrh!L558,-3)/$X$2</f>
        <v>-3648</v>
      </c>
      <c r="M561" s="67"/>
    </row>
    <row r="562" spans="1:13" x14ac:dyDescent="0.25">
      <c r="A562" s="42" t="s">
        <v>1437</v>
      </c>
      <c r="B562" s="14"/>
      <c r="C562" s="13"/>
      <c r="D562" s="13"/>
      <c r="E562" s="373" t="s">
        <v>576</v>
      </c>
      <c r="F562" s="374"/>
      <c r="G562" s="88">
        <f>+ROUND(Návrh!H559,-3)/$X$2</f>
        <v>-6</v>
      </c>
      <c r="H562" s="88">
        <f>+ROUND(Návrh!I559,-3)/$X$2</f>
        <v>-6</v>
      </c>
      <c r="I562" s="88">
        <f>+ROUND(Návrh!J559,-3)/$X$2</f>
        <v>0</v>
      </c>
      <c r="J562" s="88" t="e">
        <f>+ROUND(Návrh!#REF!,-3)/$X$2</f>
        <v>#REF!</v>
      </c>
      <c r="K562" s="88">
        <f>+ROUND(Návrh!K559,-3)/$X$2</f>
        <v>0</v>
      </c>
      <c r="L562" s="88">
        <f>+ROUND(Návrh!L559,-3)/$X$2</f>
        <v>0</v>
      </c>
      <c r="M562" s="67"/>
    </row>
    <row r="563" spans="1:13" x14ac:dyDescent="0.25">
      <c r="A563" s="42" t="s">
        <v>1438</v>
      </c>
      <c r="B563" s="14"/>
      <c r="C563" s="13"/>
      <c r="D563" s="13"/>
      <c r="E563" s="373" t="s">
        <v>577</v>
      </c>
      <c r="F563" s="374"/>
      <c r="G563" s="88">
        <f>+ROUND(Návrh!H560,-3)/$X$2</f>
        <v>0</v>
      </c>
      <c r="H563" s="88">
        <f>+ROUND(Návrh!I560,-3)/$X$2</f>
        <v>-11</v>
      </c>
      <c r="I563" s="88">
        <f>+ROUND(Návrh!J560,-3)/$X$2</f>
        <v>0</v>
      </c>
      <c r="J563" s="88" t="e">
        <f>+ROUND(Návrh!#REF!,-3)/$X$2</f>
        <v>#REF!</v>
      </c>
      <c r="K563" s="88">
        <f>+ROUND(Návrh!K560,-3)/$X$2</f>
        <v>0</v>
      </c>
      <c r="L563" s="88">
        <f>+ROUND(Návrh!L560,-3)/$X$2</f>
        <v>0</v>
      </c>
      <c r="M563" s="67"/>
    </row>
    <row r="564" spans="1:13" x14ac:dyDescent="0.25">
      <c r="A564" s="26" t="s">
        <v>1439</v>
      </c>
      <c r="B564" s="26"/>
      <c r="C564" s="23"/>
      <c r="D564" s="23"/>
      <c r="E564" s="379" t="s">
        <v>578</v>
      </c>
      <c r="F564" s="380"/>
      <c r="G564" s="92">
        <f>+ROUND(Návrh!H561,-3)/$X$2</f>
        <v>-38</v>
      </c>
      <c r="H564" s="92">
        <f>+ROUND(Návrh!I561,-3)/$X$2</f>
        <v>-8</v>
      </c>
      <c r="I564" s="92">
        <f>+ROUND(Návrh!J561,-3)/$X$2</f>
        <v>0</v>
      </c>
      <c r="J564" s="92" t="e">
        <f>+ROUND(Návrh!#REF!,-3)/$X$2</f>
        <v>#REF!</v>
      </c>
      <c r="K564" s="92">
        <f>+ROUND(Návrh!K561,-3)/$X$2</f>
        <v>-11</v>
      </c>
      <c r="L564" s="92">
        <f>+ROUND(Návrh!L561,-3)/$X$2</f>
        <v>0</v>
      </c>
      <c r="M564" s="67"/>
    </row>
    <row r="565" spans="1:13" x14ac:dyDescent="0.25">
      <c r="A565" s="42" t="s">
        <v>1440</v>
      </c>
      <c r="B565" s="14"/>
      <c r="C565" s="13"/>
      <c r="D565" s="13"/>
      <c r="E565" s="373" t="s">
        <v>163</v>
      </c>
      <c r="F565" s="374"/>
      <c r="G565" s="88">
        <f>+ROUND(Návrh!H562,-3)/$X$2</f>
        <v>-38</v>
      </c>
      <c r="H565" s="88">
        <f>+ROUND(Návrh!I562,-3)/$X$2</f>
        <v>-8</v>
      </c>
      <c r="I565" s="88">
        <f>+ROUND(Návrh!J562,-3)/$X$2</f>
        <v>0</v>
      </c>
      <c r="J565" s="88" t="e">
        <f>+ROUND(Návrh!#REF!,-3)/$X$2</f>
        <v>#REF!</v>
      </c>
      <c r="K565" s="88">
        <f>+ROUND(Návrh!K562,-3)/$X$2</f>
        <v>-11</v>
      </c>
      <c r="L565" s="88">
        <f>+ROUND(Návrh!L562,-3)/$X$2</f>
        <v>0</v>
      </c>
      <c r="M565" s="67"/>
    </row>
    <row r="566" spans="1:13" x14ac:dyDescent="0.25">
      <c r="A566" s="38" t="s">
        <v>579</v>
      </c>
      <c r="B566" s="38"/>
      <c r="C566" s="22"/>
      <c r="D566" s="22"/>
      <c r="E566" s="385" t="s">
        <v>580</v>
      </c>
      <c r="F566" s="386"/>
      <c r="G566" s="91">
        <f>+ROUND(Návrh!H563,-3)/$X$2</f>
        <v>0</v>
      </c>
      <c r="H566" s="91">
        <f>+ROUND(Návrh!I563,-3)/$X$2</f>
        <v>0</v>
      </c>
      <c r="I566" s="91">
        <f>+ROUND(Návrh!J563,-3)/$X$2</f>
        <v>0</v>
      </c>
      <c r="J566" s="91" t="e">
        <f>+ROUND(Návrh!#REF!,-3)/$X$2</f>
        <v>#REF!</v>
      </c>
      <c r="K566" s="91">
        <f>+ROUND(Návrh!K563,-3)/$X$2</f>
        <v>0</v>
      </c>
      <c r="L566" s="91">
        <f>+ROUND(Návrh!L563,-3)/$X$2</f>
        <v>0</v>
      </c>
      <c r="M566" s="67"/>
    </row>
    <row r="567" spans="1:13" x14ac:dyDescent="0.25">
      <c r="A567" s="38" t="s">
        <v>581</v>
      </c>
      <c r="B567" s="38"/>
      <c r="C567" s="22"/>
      <c r="D567" s="22"/>
      <c r="E567" s="385" t="s">
        <v>582</v>
      </c>
      <c r="F567" s="386"/>
      <c r="G567" s="91">
        <f>+ROUND(Návrh!H564,-3)/$X$2</f>
        <v>-27</v>
      </c>
      <c r="H567" s="91">
        <f>+ROUND(Návrh!I564,-3)/$X$2</f>
        <v>-65</v>
      </c>
      <c r="I567" s="91">
        <f>+ROUND(Návrh!J564,-3)/$X$2</f>
        <v>0</v>
      </c>
      <c r="J567" s="91" t="e">
        <f>+ROUND(Návrh!#REF!,-3)/$X$2</f>
        <v>#REF!</v>
      </c>
      <c r="K567" s="91">
        <f>+ROUND(Návrh!K564,-3)/$X$2</f>
        <v>0</v>
      </c>
      <c r="L567" s="91">
        <f>+ROUND(Návrh!L564,-3)/$X$2</f>
        <v>0</v>
      </c>
      <c r="M567" s="67"/>
    </row>
    <row r="568" spans="1:13" x14ac:dyDescent="0.25">
      <c r="A568" s="26" t="s">
        <v>1441</v>
      </c>
      <c r="B568" s="26"/>
      <c r="C568" s="23"/>
      <c r="D568" s="23"/>
      <c r="E568" s="379" t="s">
        <v>583</v>
      </c>
      <c r="F568" s="380"/>
      <c r="G568" s="92">
        <f>+ROUND(Návrh!H565,-3)/$X$2</f>
        <v>-27</v>
      </c>
      <c r="H568" s="92">
        <f>+ROUND(Návrh!I565,-3)/$X$2</f>
        <v>-65</v>
      </c>
      <c r="I568" s="92">
        <f>+ROUND(Návrh!J565,-3)/$X$2</f>
        <v>0</v>
      </c>
      <c r="J568" s="92" t="e">
        <f>+ROUND(Návrh!#REF!,-3)/$X$2</f>
        <v>#REF!</v>
      </c>
      <c r="K568" s="92">
        <f>+ROUND(Návrh!K565,-3)/$X$2</f>
        <v>0</v>
      </c>
      <c r="L568" s="92">
        <f>+ROUND(Návrh!L565,-3)/$X$2</f>
        <v>0</v>
      </c>
      <c r="M568" s="67"/>
    </row>
    <row r="569" spans="1:13" x14ac:dyDescent="0.25">
      <c r="A569" s="42" t="s">
        <v>1442</v>
      </c>
      <c r="B569" s="14"/>
      <c r="C569" s="13"/>
      <c r="D569" s="13"/>
      <c r="E569" s="373" t="s">
        <v>584</v>
      </c>
      <c r="F569" s="374"/>
      <c r="G569" s="88">
        <f>+ROUND(Návrh!H566,-3)/$X$2</f>
        <v>-27</v>
      </c>
      <c r="H569" s="88">
        <f>+ROUND(Návrh!I566,-3)/$X$2</f>
        <v>-65</v>
      </c>
      <c r="I569" s="88">
        <f>+ROUND(Návrh!J566,-3)/$X$2</f>
        <v>0</v>
      </c>
      <c r="J569" s="88" t="e">
        <f>+ROUND(Návrh!#REF!,-3)/$X$2</f>
        <v>#REF!</v>
      </c>
      <c r="K569" s="88">
        <f>+ROUND(Návrh!K566,-3)/$X$2</f>
        <v>0</v>
      </c>
      <c r="L569" s="88">
        <f>+ROUND(Návrh!L566,-3)/$X$2</f>
        <v>0</v>
      </c>
      <c r="M569" s="67"/>
    </row>
    <row r="570" spans="1:13" x14ac:dyDescent="0.25">
      <c r="A570" s="38" t="s">
        <v>585</v>
      </c>
      <c r="B570" s="38"/>
      <c r="C570" s="22"/>
      <c r="D570" s="22"/>
      <c r="E570" s="385" t="s">
        <v>582</v>
      </c>
      <c r="F570" s="386"/>
      <c r="G570" s="91">
        <f>+ROUND(Návrh!H567,-3)/$X$2</f>
        <v>411</v>
      </c>
      <c r="H570" s="91">
        <f>+ROUND(Návrh!I567,-3)/$X$2</f>
        <v>91</v>
      </c>
      <c r="I570" s="91">
        <f>+ROUND(Návrh!J567,-3)/$X$2</f>
        <v>0</v>
      </c>
      <c r="J570" s="91" t="e">
        <f>+ROUND(Návrh!#REF!,-3)/$X$2</f>
        <v>#REF!</v>
      </c>
      <c r="K570" s="91">
        <f>+ROUND(Návrh!K567,-3)/$X$2</f>
        <v>-344</v>
      </c>
      <c r="L570" s="91">
        <f>+ROUND(Návrh!L567,-3)/$X$2</f>
        <v>0</v>
      </c>
      <c r="M570" s="67"/>
    </row>
    <row r="571" spans="1:13" x14ac:dyDescent="0.25">
      <c r="A571" s="26" t="s">
        <v>1443</v>
      </c>
      <c r="B571" s="26"/>
      <c r="C571" s="23"/>
      <c r="D571" s="23"/>
      <c r="E571" s="379" t="s">
        <v>586</v>
      </c>
      <c r="F571" s="380"/>
      <c r="G571" s="92">
        <f>+ROUND(Návrh!H568,-3)/$X$2</f>
        <v>83</v>
      </c>
      <c r="H571" s="92">
        <f>+ROUND(Návrh!I568,-3)/$X$2</f>
        <v>-181</v>
      </c>
      <c r="I571" s="92">
        <f>+ROUND(Návrh!J568,-3)/$X$2</f>
        <v>0</v>
      </c>
      <c r="J571" s="92" t="e">
        <f>+ROUND(Návrh!#REF!,-3)/$X$2</f>
        <v>#REF!</v>
      </c>
      <c r="K571" s="92">
        <f>+ROUND(Návrh!K568,-3)/$X$2</f>
        <v>-344</v>
      </c>
      <c r="L571" s="92">
        <f>+ROUND(Návrh!L568,-3)/$X$2</f>
        <v>0</v>
      </c>
      <c r="M571" s="67"/>
    </row>
    <row r="572" spans="1:13" x14ac:dyDescent="0.25">
      <c r="A572" s="42" t="s">
        <v>1444</v>
      </c>
      <c r="B572" s="14"/>
      <c r="C572" s="13"/>
      <c r="D572" s="13"/>
      <c r="E572" s="373" t="s">
        <v>587</v>
      </c>
      <c r="F572" s="374"/>
      <c r="G572" s="88">
        <f>+ROUND(Návrh!H569,-3)/$X$2</f>
        <v>83</v>
      </c>
      <c r="H572" s="88">
        <f>+ROUND(Návrh!I569,-3)/$X$2</f>
        <v>-181</v>
      </c>
      <c r="I572" s="88">
        <f>+ROUND(Návrh!J569,-3)/$X$2</f>
        <v>0</v>
      </c>
      <c r="J572" s="88" t="e">
        <f>+ROUND(Návrh!#REF!,-3)/$X$2</f>
        <v>#REF!</v>
      </c>
      <c r="K572" s="88">
        <f>+ROUND(Návrh!K569,-3)/$X$2</f>
        <v>-344</v>
      </c>
      <c r="L572" s="88">
        <f>+ROUND(Návrh!L569,-3)/$X$2</f>
        <v>0</v>
      </c>
      <c r="M572" s="67"/>
    </row>
    <row r="573" spans="1:13" x14ac:dyDescent="0.25">
      <c r="A573" s="26" t="s">
        <v>1445</v>
      </c>
      <c r="B573" s="26"/>
      <c r="C573" s="23"/>
      <c r="D573" s="23"/>
      <c r="E573" s="379" t="s">
        <v>588</v>
      </c>
      <c r="F573" s="380"/>
      <c r="G573" s="92">
        <f>+ROUND(Návrh!H570,-3)/$X$2</f>
        <v>328</v>
      </c>
      <c r="H573" s="92">
        <f>+ROUND(Návrh!I570,-3)/$X$2</f>
        <v>271</v>
      </c>
      <c r="I573" s="92">
        <f>+ROUND(Návrh!J570,-3)/$X$2</f>
        <v>0</v>
      </c>
      <c r="J573" s="92" t="e">
        <f>+ROUND(Návrh!#REF!,-3)/$X$2</f>
        <v>#REF!</v>
      </c>
      <c r="K573" s="92">
        <f>+ROUND(Návrh!K570,-3)/$X$2</f>
        <v>0</v>
      </c>
      <c r="L573" s="92">
        <f>+ROUND(Návrh!L570,-3)/$X$2</f>
        <v>0</v>
      </c>
      <c r="M573" s="67"/>
    </row>
    <row r="574" spans="1:13" x14ac:dyDescent="0.25">
      <c r="A574" s="42" t="s">
        <v>1446</v>
      </c>
      <c r="B574" s="14"/>
      <c r="C574" s="13"/>
      <c r="D574" s="13"/>
      <c r="E574" s="373" t="s">
        <v>589</v>
      </c>
      <c r="F574" s="374"/>
      <c r="G574" s="88">
        <f>+ROUND(Návrh!H571,-3)/$X$2</f>
        <v>328</v>
      </c>
      <c r="H574" s="88">
        <f>+ROUND(Návrh!I571,-3)/$X$2</f>
        <v>271</v>
      </c>
      <c r="I574" s="88">
        <f>+ROUND(Návrh!J571,-3)/$X$2</f>
        <v>0</v>
      </c>
      <c r="J574" s="88" t="e">
        <f>+ROUND(Návrh!#REF!,-3)/$X$2</f>
        <v>#REF!</v>
      </c>
      <c r="K574" s="88">
        <f>+ROUND(Návrh!K571,-3)/$X$2</f>
        <v>0</v>
      </c>
      <c r="L574" s="88">
        <f>+ROUND(Návrh!L571,-3)/$X$2</f>
        <v>0</v>
      </c>
      <c r="M574" s="67"/>
    </row>
    <row r="575" spans="1:13" x14ac:dyDescent="0.25">
      <c r="A575" s="41" t="s">
        <v>590</v>
      </c>
      <c r="B575" s="41"/>
      <c r="C575" s="40"/>
      <c r="D575" s="40"/>
      <c r="E575" s="383" t="s">
        <v>591</v>
      </c>
      <c r="F575" s="384"/>
      <c r="G575" s="89">
        <f>+ROUND(Návrh!H572,-3)/$X$2</f>
        <v>-197</v>
      </c>
      <c r="H575" s="89">
        <f>+ROUND(Návrh!I572,-3)/$X$2</f>
        <v>-334</v>
      </c>
      <c r="I575" s="89">
        <f>+ROUND(Návrh!J572,-3)/$X$2</f>
        <v>-200</v>
      </c>
      <c r="J575" s="89" t="e">
        <f>+ROUND(Návrh!#REF!,-3)/$X$2</f>
        <v>#REF!</v>
      </c>
      <c r="K575" s="89">
        <f>+ROUND(Návrh!K572,-3)/$X$2</f>
        <v>-239</v>
      </c>
      <c r="L575" s="89">
        <f>+ROUND(Návrh!L572,-3)/$X$2</f>
        <v>-280</v>
      </c>
      <c r="M575" s="67"/>
    </row>
    <row r="576" spans="1:13" x14ac:dyDescent="0.25">
      <c r="A576" s="38" t="s">
        <v>592</v>
      </c>
      <c r="B576" s="38"/>
      <c r="C576" s="22"/>
      <c r="D576" s="22"/>
      <c r="E576" s="385" t="s">
        <v>593</v>
      </c>
      <c r="F576" s="386"/>
      <c r="G576" s="91">
        <f>+ROUND(Návrh!H573,-3)/$X$2</f>
        <v>0</v>
      </c>
      <c r="H576" s="91">
        <f>+ROUND(Návrh!I573,-3)/$X$2</f>
        <v>0</v>
      </c>
      <c r="I576" s="91">
        <f>+ROUND(Návrh!J573,-3)/$X$2</f>
        <v>0</v>
      </c>
      <c r="J576" s="91" t="e">
        <f>+ROUND(Návrh!#REF!,-3)/$X$2</f>
        <v>#REF!</v>
      </c>
      <c r="K576" s="91">
        <f>+ROUND(Návrh!K573,-3)/$X$2</f>
        <v>0</v>
      </c>
      <c r="L576" s="91">
        <f>+ROUND(Návrh!L573,-3)/$X$2</f>
        <v>0</v>
      </c>
      <c r="M576" s="67"/>
    </row>
    <row r="577" spans="1:13" x14ac:dyDescent="0.25">
      <c r="A577" s="38" t="s">
        <v>594</v>
      </c>
      <c r="B577" s="38"/>
      <c r="C577" s="22"/>
      <c r="D577" s="22"/>
      <c r="E577" s="385" t="s">
        <v>595</v>
      </c>
      <c r="F577" s="386"/>
      <c r="G577" s="91">
        <f>+ROUND(Návrh!H574,-3)/$X$2</f>
        <v>0</v>
      </c>
      <c r="H577" s="91">
        <f>+ROUND(Návrh!I574,-3)/$X$2</f>
        <v>0</v>
      </c>
      <c r="I577" s="91">
        <f>+ROUND(Návrh!J574,-3)/$X$2</f>
        <v>0</v>
      </c>
      <c r="J577" s="91" t="e">
        <f>+ROUND(Návrh!#REF!,-3)/$X$2</f>
        <v>#REF!</v>
      </c>
      <c r="K577" s="91">
        <f>+ROUND(Návrh!K574,-3)/$X$2</f>
        <v>0</v>
      </c>
      <c r="L577" s="91">
        <f>+ROUND(Návrh!L574,-3)/$X$2</f>
        <v>0</v>
      </c>
      <c r="M577" s="67"/>
    </row>
    <row r="578" spans="1:13" x14ac:dyDescent="0.25">
      <c r="A578" s="26" t="s">
        <v>1447</v>
      </c>
      <c r="B578" s="26"/>
      <c r="C578" s="23"/>
      <c r="D578" s="23"/>
      <c r="E578" s="379" t="s">
        <v>596</v>
      </c>
      <c r="F578" s="380"/>
      <c r="G578" s="92">
        <f>+ROUND(Návrh!H575,-3)/$X$2</f>
        <v>0</v>
      </c>
      <c r="H578" s="92">
        <f>+ROUND(Návrh!I575,-3)/$X$2</f>
        <v>0</v>
      </c>
      <c r="I578" s="92">
        <f>+ROUND(Návrh!J575,-3)/$X$2</f>
        <v>0</v>
      </c>
      <c r="J578" s="92" t="e">
        <f>+ROUND(Návrh!#REF!,-3)/$X$2</f>
        <v>#REF!</v>
      </c>
      <c r="K578" s="92">
        <f>+ROUND(Návrh!K575,-3)/$X$2</f>
        <v>0</v>
      </c>
      <c r="L578" s="92">
        <f>+ROUND(Návrh!L575,-3)/$X$2</f>
        <v>0</v>
      </c>
      <c r="M578" s="67"/>
    </row>
    <row r="579" spans="1:13" x14ac:dyDescent="0.25">
      <c r="A579" s="42" t="s">
        <v>1449</v>
      </c>
      <c r="B579" s="14"/>
      <c r="C579" s="13"/>
      <c r="D579" s="13"/>
      <c r="E579" s="373" t="s">
        <v>597</v>
      </c>
      <c r="F579" s="374"/>
      <c r="G579" s="88">
        <f>+ROUND(Návrh!H576,-3)/$X$2</f>
        <v>0</v>
      </c>
      <c r="H579" s="88">
        <f>+ROUND(Návrh!I576,-3)/$X$2</f>
        <v>0</v>
      </c>
      <c r="I579" s="88">
        <f>+ROUND(Návrh!J576,-3)/$X$2</f>
        <v>0</v>
      </c>
      <c r="J579" s="88" t="e">
        <f>+ROUND(Návrh!#REF!,-3)/$X$2</f>
        <v>#REF!</v>
      </c>
      <c r="K579" s="88">
        <f>+ROUND(Návrh!K576,-3)/$X$2</f>
        <v>0</v>
      </c>
      <c r="L579" s="88">
        <f>+ROUND(Návrh!L576,-3)/$X$2</f>
        <v>0</v>
      </c>
      <c r="M579" s="67"/>
    </row>
    <row r="580" spans="1:13" x14ac:dyDescent="0.25">
      <c r="A580" s="38" t="s">
        <v>598</v>
      </c>
      <c r="B580" s="38"/>
      <c r="C580" s="22"/>
      <c r="D580" s="22"/>
      <c r="E580" s="385" t="s">
        <v>599</v>
      </c>
      <c r="F580" s="386"/>
      <c r="G580" s="91">
        <f>+ROUND(Návrh!H577,-3)/$X$2</f>
        <v>-197</v>
      </c>
      <c r="H580" s="91">
        <f>+ROUND(Návrh!I577,-3)/$X$2</f>
        <v>-277</v>
      </c>
      <c r="I580" s="91">
        <f>+ROUND(Návrh!J577,-3)/$X$2</f>
        <v>-200</v>
      </c>
      <c r="J580" s="91" t="e">
        <f>+ROUND(Návrh!#REF!,-3)/$X$2</f>
        <v>#REF!</v>
      </c>
      <c r="K580" s="91">
        <f>+ROUND(Návrh!K577,-3)/$X$2</f>
        <v>-239</v>
      </c>
      <c r="L580" s="91">
        <f>+ROUND(Návrh!L577,-3)/$X$2</f>
        <v>-280</v>
      </c>
      <c r="M580" s="67"/>
    </row>
    <row r="581" spans="1:13" x14ac:dyDescent="0.25">
      <c r="A581" s="26" t="s">
        <v>1450</v>
      </c>
      <c r="B581" s="26"/>
      <c r="C581" s="23"/>
      <c r="D581" s="23"/>
      <c r="E581" s="379" t="s">
        <v>600</v>
      </c>
      <c r="F581" s="380"/>
      <c r="G581" s="92">
        <f>+ROUND(Návrh!H578,-3)/$X$2</f>
        <v>0</v>
      </c>
      <c r="H581" s="92">
        <f>+ROUND(Návrh!I578,-3)/$X$2</f>
        <v>0</v>
      </c>
      <c r="I581" s="92">
        <f>+ROUND(Návrh!J578,-3)/$X$2</f>
        <v>0</v>
      </c>
      <c r="J581" s="92" t="e">
        <f>+ROUND(Návrh!#REF!,-3)/$X$2</f>
        <v>#REF!</v>
      </c>
      <c r="K581" s="92">
        <f>+ROUND(Návrh!K578,-3)/$X$2</f>
        <v>0</v>
      </c>
      <c r="L581" s="92">
        <f>+ROUND(Návrh!L578,-3)/$X$2</f>
        <v>0</v>
      </c>
      <c r="M581" s="67"/>
    </row>
    <row r="582" spans="1:13" x14ac:dyDescent="0.25">
      <c r="A582" s="42" t="s">
        <v>1451</v>
      </c>
      <c r="B582" s="14"/>
      <c r="C582" s="13"/>
      <c r="D582" s="13"/>
      <c r="E582" s="373" t="s">
        <v>601</v>
      </c>
      <c r="F582" s="374"/>
      <c r="G582" s="88">
        <f>+ROUND(Návrh!H579,-3)/$X$2</f>
        <v>0</v>
      </c>
      <c r="H582" s="88">
        <f>+ROUND(Návrh!I579,-3)/$X$2</f>
        <v>0</v>
      </c>
      <c r="I582" s="88">
        <f>+ROUND(Návrh!J579,-3)/$X$2</f>
        <v>0</v>
      </c>
      <c r="J582" s="88" t="e">
        <f>+ROUND(Návrh!#REF!,-3)/$X$2</f>
        <v>#REF!</v>
      </c>
      <c r="K582" s="88">
        <f>+ROUND(Návrh!K579,-3)/$X$2</f>
        <v>0</v>
      </c>
      <c r="L582" s="88">
        <f>+ROUND(Návrh!L579,-3)/$X$2</f>
        <v>0</v>
      </c>
      <c r="M582" s="67"/>
    </row>
    <row r="583" spans="1:13" x14ac:dyDescent="0.25">
      <c r="A583" s="26" t="s">
        <v>1452</v>
      </c>
      <c r="B583" s="26"/>
      <c r="C583" s="23"/>
      <c r="D583" s="23"/>
      <c r="E583" s="379" t="s">
        <v>602</v>
      </c>
      <c r="F583" s="380"/>
      <c r="G583" s="92">
        <f>+ROUND(Návrh!H580,-3)/$X$2</f>
        <v>-197</v>
      </c>
      <c r="H583" s="92">
        <f>+ROUND(Návrh!I580,-3)/$X$2</f>
        <v>-277</v>
      </c>
      <c r="I583" s="92">
        <f>+ROUND(Návrh!J580,-3)/$X$2</f>
        <v>-200</v>
      </c>
      <c r="J583" s="92" t="e">
        <f>+ROUND(Návrh!#REF!,-3)/$X$2</f>
        <v>#REF!</v>
      </c>
      <c r="K583" s="92">
        <f>+ROUND(Návrh!K580,-3)/$X$2</f>
        <v>-239</v>
      </c>
      <c r="L583" s="92">
        <f>+ROUND(Návrh!L580,-3)/$X$2</f>
        <v>-280</v>
      </c>
      <c r="M583" s="67"/>
    </row>
    <row r="584" spans="1:13" x14ac:dyDescent="0.25">
      <c r="A584" s="42" t="s">
        <v>1448</v>
      </c>
      <c r="B584" s="27" t="s">
        <v>916</v>
      </c>
      <c r="C584" s="28" t="s">
        <v>923</v>
      </c>
      <c r="D584" s="28" t="s">
        <v>1643</v>
      </c>
      <c r="E584" s="373" t="s">
        <v>603</v>
      </c>
      <c r="F584" s="374"/>
      <c r="G584" s="88">
        <f>+ROUND(Návrh!H581,-3)/$X$2</f>
        <v>-197</v>
      </c>
      <c r="H584" s="88">
        <f>+ROUND(Návrh!I581,-3)/$X$2</f>
        <v>-277</v>
      </c>
      <c r="I584" s="88">
        <f>+ROUND(Návrh!J581,-3)/$X$2</f>
        <v>-200</v>
      </c>
      <c r="J584" s="88" t="e">
        <f>+ROUND(Návrh!#REF!,-3)/$X$2</f>
        <v>#REF!</v>
      </c>
      <c r="K584" s="88">
        <f>+ROUND(Návrh!K581,-3)/$X$2</f>
        <v>-239</v>
      </c>
      <c r="L584" s="88">
        <f>+ROUND(Návrh!L581,-3)/$X$2</f>
        <v>-280</v>
      </c>
      <c r="M584" s="67"/>
    </row>
    <row r="585" spans="1:13" x14ac:dyDescent="0.25">
      <c r="A585" s="26" t="s">
        <v>1453</v>
      </c>
      <c r="B585" s="26"/>
      <c r="C585" s="23"/>
      <c r="D585" s="23"/>
      <c r="E585" s="379" t="s">
        <v>604</v>
      </c>
      <c r="F585" s="380"/>
      <c r="G585" s="92">
        <f>+ROUND(Návrh!H582,-3)/$X$2</f>
        <v>0</v>
      </c>
      <c r="H585" s="92">
        <f>+ROUND(Návrh!I582,-3)/$X$2</f>
        <v>0</v>
      </c>
      <c r="I585" s="92">
        <f>+ROUND(Návrh!J582,-3)/$X$2</f>
        <v>0</v>
      </c>
      <c r="J585" s="92" t="e">
        <f>+ROUND(Návrh!#REF!,-3)/$X$2</f>
        <v>#REF!</v>
      </c>
      <c r="K585" s="92">
        <f>+ROUND(Návrh!K582,-3)/$X$2</f>
        <v>0</v>
      </c>
      <c r="L585" s="92">
        <f>+ROUND(Návrh!L582,-3)/$X$2</f>
        <v>0</v>
      </c>
      <c r="M585" s="67"/>
    </row>
    <row r="586" spans="1:13" x14ac:dyDescent="0.25">
      <c r="A586" s="42" t="s">
        <v>1454</v>
      </c>
      <c r="B586" s="14"/>
      <c r="C586" s="13"/>
      <c r="D586" s="13"/>
      <c r="E586" s="373" t="s">
        <v>605</v>
      </c>
      <c r="F586" s="374"/>
      <c r="G586" s="88">
        <f>+ROUND(Návrh!H583,-3)/$X$2</f>
        <v>0</v>
      </c>
      <c r="H586" s="88">
        <f>+ROUND(Návrh!I583,-3)/$X$2</f>
        <v>0</v>
      </c>
      <c r="I586" s="88">
        <f>+ROUND(Návrh!J583,-3)/$X$2</f>
        <v>0</v>
      </c>
      <c r="J586" s="88" t="e">
        <f>+ROUND(Návrh!#REF!,-3)/$X$2</f>
        <v>#REF!</v>
      </c>
      <c r="K586" s="88">
        <f>+ROUND(Návrh!K583,-3)/$X$2</f>
        <v>0</v>
      </c>
      <c r="L586" s="88">
        <f>+ROUND(Návrh!L583,-3)/$X$2</f>
        <v>0</v>
      </c>
      <c r="M586" s="67"/>
    </row>
    <row r="587" spans="1:13" x14ac:dyDescent="0.25">
      <c r="A587" s="38" t="s">
        <v>606</v>
      </c>
      <c r="B587" s="38"/>
      <c r="C587" s="22"/>
      <c r="D587" s="22"/>
      <c r="E587" s="385" t="s">
        <v>607</v>
      </c>
      <c r="F587" s="386"/>
      <c r="G587" s="91">
        <f>+ROUND(Návrh!H584,-3)/$X$2</f>
        <v>0</v>
      </c>
      <c r="H587" s="91">
        <f>+ROUND(Návrh!I584,-3)/$X$2</f>
        <v>-58</v>
      </c>
      <c r="I587" s="91">
        <f>+ROUND(Návrh!J584,-3)/$X$2</f>
        <v>0</v>
      </c>
      <c r="J587" s="91" t="e">
        <f>+ROUND(Návrh!#REF!,-3)/$X$2</f>
        <v>#REF!</v>
      </c>
      <c r="K587" s="91">
        <f>+ROUND(Návrh!K584,-3)/$X$2</f>
        <v>0</v>
      </c>
      <c r="L587" s="91">
        <f>+ROUND(Návrh!L584,-3)/$X$2</f>
        <v>0</v>
      </c>
      <c r="M587" s="67"/>
    </row>
    <row r="588" spans="1:13" x14ac:dyDescent="0.25">
      <c r="A588" s="26" t="s">
        <v>1455</v>
      </c>
      <c r="B588" s="26"/>
      <c r="C588" s="23"/>
      <c r="D588" s="23"/>
      <c r="E588" s="379" t="s">
        <v>608</v>
      </c>
      <c r="F588" s="380"/>
      <c r="G588" s="92">
        <f>+ROUND(Návrh!H585,-3)/$X$2</f>
        <v>0</v>
      </c>
      <c r="H588" s="92">
        <f>+ROUND(Návrh!I585,-3)/$X$2</f>
        <v>-58</v>
      </c>
      <c r="I588" s="92">
        <f>+ROUND(Návrh!J585,-3)/$X$2</f>
        <v>0</v>
      </c>
      <c r="J588" s="92" t="e">
        <f>+ROUND(Návrh!#REF!,-3)/$X$2</f>
        <v>#REF!</v>
      </c>
      <c r="K588" s="92">
        <f>+ROUND(Návrh!K585,-3)/$X$2</f>
        <v>0</v>
      </c>
      <c r="L588" s="92">
        <f>+ROUND(Návrh!L585,-3)/$X$2</f>
        <v>0</v>
      </c>
      <c r="M588" s="67"/>
    </row>
    <row r="589" spans="1:13" x14ac:dyDescent="0.25">
      <c r="A589" s="42" t="s">
        <v>1456</v>
      </c>
      <c r="B589" s="14"/>
      <c r="C589" s="13"/>
      <c r="D589" s="13"/>
      <c r="E589" s="373" t="s">
        <v>609</v>
      </c>
      <c r="F589" s="374"/>
      <c r="G589" s="88">
        <f>+ROUND(Návrh!H586,-3)/$X$2</f>
        <v>0</v>
      </c>
      <c r="H589" s="88">
        <f>+ROUND(Návrh!I586,-3)/$X$2</f>
        <v>-58</v>
      </c>
      <c r="I589" s="88">
        <f>+ROUND(Návrh!J586,-3)/$X$2</f>
        <v>0</v>
      </c>
      <c r="J589" s="88" t="e">
        <f>+ROUND(Návrh!#REF!,-3)/$X$2</f>
        <v>#REF!</v>
      </c>
      <c r="K589" s="88">
        <f>+ROUND(Návrh!K586,-3)/$X$2</f>
        <v>0</v>
      </c>
      <c r="L589" s="88">
        <f>+ROUND(Návrh!L586,-3)/$X$2</f>
        <v>0</v>
      </c>
      <c r="M589" s="67"/>
    </row>
    <row r="590" spans="1:13" x14ac:dyDescent="0.25">
      <c r="A590" s="38" t="s">
        <v>610</v>
      </c>
      <c r="B590" s="38"/>
      <c r="C590" s="22"/>
      <c r="D590" s="22"/>
      <c r="E590" s="385" t="s">
        <v>611</v>
      </c>
      <c r="F590" s="386"/>
      <c r="G590" s="91">
        <f>+ROUND(Návrh!H587,-3)/$X$2</f>
        <v>0</v>
      </c>
      <c r="H590" s="91">
        <f>+ROUND(Návrh!I587,-3)/$X$2</f>
        <v>0</v>
      </c>
      <c r="I590" s="91">
        <f>+ROUND(Návrh!J587,-3)/$X$2</f>
        <v>0</v>
      </c>
      <c r="J590" s="91" t="e">
        <f>+ROUND(Návrh!#REF!,-3)/$X$2</f>
        <v>#REF!</v>
      </c>
      <c r="K590" s="91">
        <f>+ROUND(Návrh!K587,-3)/$X$2</f>
        <v>0</v>
      </c>
      <c r="L590" s="91">
        <f>+ROUND(Návrh!L587,-3)/$X$2</f>
        <v>0</v>
      </c>
      <c r="M590" s="67"/>
    </row>
    <row r="591" spans="1:13" x14ac:dyDescent="0.25">
      <c r="A591" s="38" t="s">
        <v>612</v>
      </c>
      <c r="B591" s="38"/>
      <c r="C591" s="22"/>
      <c r="D591" s="22"/>
      <c r="E591" s="385" t="s">
        <v>613</v>
      </c>
      <c r="F591" s="386"/>
      <c r="G591" s="91">
        <f>+ROUND(Návrh!H588,-3)/$X$2</f>
        <v>0</v>
      </c>
      <c r="H591" s="91">
        <f>+ROUND(Návrh!I588,-3)/$X$2</f>
        <v>0</v>
      </c>
      <c r="I591" s="91">
        <f>+ROUND(Návrh!J588,-3)/$X$2</f>
        <v>0</v>
      </c>
      <c r="J591" s="91" t="e">
        <f>+ROUND(Návrh!#REF!,-3)/$X$2</f>
        <v>#REF!</v>
      </c>
      <c r="K591" s="91">
        <f>+ROUND(Návrh!K588,-3)/$X$2</f>
        <v>0</v>
      </c>
      <c r="L591" s="91">
        <f>+ROUND(Návrh!L588,-3)/$X$2</f>
        <v>0</v>
      </c>
      <c r="M591" s="67"/>
    </row>
    <row r="592" spans="1:13" x14ac:dyDescent="0.25">
      <c r="A592" s="38" t="s">
        <v>614</v>
      </c>
      <c r="B592" s="38"/>
      <c r="C592" s="22"/>
      <c r="D592" s="22"/>
      <c r="E592" s="385" t="s">
        <v>615</v>
      </c>
      <c r="F592" s="386"/>
      <c r="G592" s="91">
        <f>+ROUND(Návrh!H589,-3)/$X$2</f>
        <v>0</v>
      </c>
      <c r="H592" s="91">
        <f>+ROUND(Návrh!I589,-3)/$X$2</f>
        <v>0</v>
      </c>
      <c r="I592" s="91">
        <f>+ROUND(Návrh!J589,-3)/$X$2</f>
        <v>0</v>
      </c>
      <c r="J592" s="91" t="e">
        <f>+ROUND(Návrh!#REF!,-3)/$X$2</f>
        <v>#REF!</v>
      </c>
      <c r="K592" s="91">
        <f>+ROUND(Návrh!K589,-3)/$X$2</f>
        <v>0</v>
      </c>
      <c r="L592" s="91">
        <f>+ROUND(Návrh!L589,-3)/$X$2</f>
        <v>0</v>
      </c>
      <c r="M592" s="67"/>
    </row>
    <row r="593" spans="1:13" x14ac:dyDescent="0.25">
      <c r="A593" s="38" t="s">
        <v>616</v>
      </c>
      <c r="B593" s="38"/>
      <c r="C593" s="22"/>
      <c r="D593" s="22"/>
      <c r="E593" s="385" t="s">
        <v>617</v>
      </c>
      <c r="F593" s="386"/>
      <c r="G593" s="91">
        <f>+ROUND(Návrh!H590,-3)/$X$2</f>
        <v>0</v>
      </c>
      <c r="H593" s="91">
        <f>+ROUND(Návrh!I590,-3)/$X$2</f>
        <v>0</v>
      </c>
      <c r="I593" s="91">
        <f>+ROUND(Návrh!J590,-3)/$X$2</f>
        <v>0</v>
      </c>
      <c r="J593" s="91" t="e">
        <f>+ROUND(Návrh!#REF!,-3)/$X$2</f>
        <v>#REF!</v>
      </c>
      <c r="K593" s="91">
        <f>+ROUND(Návrh!K590,-3)/$X$2</f>
        <v>0</v>
      </c>
      <c r="L593" s="91">
        <f>+ROUND(Návrh!L590,-3)/$X$2</f>
        <v>0</v>
      </c>
      <c r="M593" s="67"/>
    </row>
    <row r="594" spans="1:13" x14ac:dyDescent="0.25">
      <c r="A594" s="41" t="s">
        <v>618</v>
      </c>
      <c r="B594" s="41"/>
      <c r="C594" s="40"/>
      <c r="D594" s="40"/>
      <c r="E594" s="383" t="s">
        <v>619</v>
      </c>
      <c r="F594" s="384"/>
      <c r="G594" s="89">
        <f>+ROUND(Návrh!H591,-3)/$X$2</f>
        <v>0</v>
      </c>
      <c r="H594" s="89">
        <f>+ROUND(Návrh!I591,-3)/$X$2</f>
        <v>0</v>
      </c>
      <c r="I594" s="89">
        <f>+ROUND(Návrh!J591,-3)/$X$2</f>
        <v>0</v>
      </c>
      <c r="J594" s="89" t="e">
        <f>+ROUND(Návrh!#REF!,-3)/$X$2</f>
        <v>#REF!</v>
      </c>
      <c r="K594" s="89">
        <f>+ROUND(Návrh!K591,-3)/$X$2</f>
        <v>0</v>
      </c>
      <c r="L594" s="89">
        <f>+ROUND(Návrh!L591,-3)/$X$2</f>
        <v>0</v>
      </c>
      <c r="M594" s="67"/>
    </row>
    <row r="595" spans="1:13" x14ac:dyDescent="0.25">
      <c r="A595" s="38" t="s">
        <v>620</v>
      </c>
      <c r="B595" s="38"/>
      <c r="C595" s="22"/>
      <c r="D595" s="22"/>
      <c r="E595" s="385" t="s">
        <v>621</v>
      </c>
      <c r="F595" s="386"/>
      <c r="G595" s="91">
        <f>+ROUND(Návrh!H592,-3)/$X$2</f>
        <v>0</v>
      </c>
      <c r="H595" s="91">
        <f>+ROUND(Návrh!I592,-3)/$X$2</f>
        <v>0</v>
      </c>
      <c r="I595" s="91">
        <f>+ROUND(Návrh!J592,-3)/$X$2</f>
        <v>0</v>
      </c>
      <c r="J595" s="91" t="e">
        <f>+ROUND(Návrh!#REF!,-3)/$X$2</f>
        <v>#REF!</v>
      </c>
      <c r="K595" s="91">
        <f>+ROUND(Návrh!K592,-3)/$X$2</f>
        <v>0</v>
      </c>
      <c r="L595" s="91">
        <f>+ROUND(Návrh!L592,-3)/$X$2</f>
        <v>0</v>
      </c>
      <c r="M595" s="67"/>
    </row>
    <row r="596" spans="1:13" x14ac:dyDescent="0.25">
      <c r="A596" s="38" t="s">
        <v>622</v>
      </c>
      <c r="B596" s="38"/>
      <c r="C596" s="22"/>
      <c r="D596" s="22"/>
      <c r="E596" s="385" t="s">
        <v>623</v>
      </c>
      <c r="F596" s="386"/>
      <c r="G596" s="91">
        <f>+ROUND(Návrh!H593,-3)/$X$2</f>
        <v>0</v>
      </c>
      <c r="H596" s="91">
        <f>+ROUND(Návrh!I593,-3)/$X$2</f>
        <v>0</v>
      </c>
      <c r="I596" s="91">
        <f>+ROUND(Návrh!J593,-3)/$X$2</f>
        <v>0</v>
      </c>
      <c r="J596" s="91" t="e">
        <f>+ROUND(Návrh!#REF!,-3)/$X$2</f>
        <v>#REF!</v>
      </c>
      <c r="K596" s="91">
        <f>+ROUND(Návrh!K593,-3)/$X$2</f>
        <v>0</v>
      </c>
      <c r="L596" s="91">
        <f>+ROUND(Návrh!L593,-3)/$X$2</f>
        <v>0</v>
      </c>
      <c r="M596" s="67"/>
    </row>
    <row r="597" spans="1:13" x14ac:dyDescent="0.25">
      <c r="A597" s="41" t="s">
        <v>624</v>
      </c>
      <c r="B597" s="41"/>
      <c r="C597" s="40"/>
      <c r="D597" s="40"/>
      <c r="E597" s="383" t="s">
        <v>625</v>
      </c>
      <c r="F597" s="384"/>
      <c r="G597" s="94">
        <f>+ROUND(Návrh!H594,-3)/$X$2</f>
        <v>0</v>
      </c>
      <c r="H597" s="94">
        <f>+ROUND(Návrh!I594,-3)/$X$2</f>
        <v>0</v>
      </c>
      <c r="I597" s="94">
        <f>+ROUND(Návrh!J594,-3)/$X$2</f>
        <v>0</v>
      </c>
      <c r="J597" s="94" t="e">
        <f>+ROUND(Návrh!#REF!,-3)/$X$2</f>
        <v>#REF!</v>
      </c>
      <c r="K597" s="94">
        <f>+ROUND(Návrh!K594,-3)/$X$2</f>
        <v>0</v>
      </c>
      <c r="L597" s="94">
        <f>+ROUND(Návrh!L594,-3)/$X$2</f>
        <v>0</v>
      </c>
      <c r="M597" s="67"/>
    </row>
    <row r="598" spans="1:13" x14ac:dyDescent="0.25">
      <c r="A598" s="38" t="s">
        <v>626</v>
      </c>
      <c r="B598" s="38"/>
      <c r="C598" s="22"/>
      <c r="D598" s="22"/>
      <c r="E598" s="385" t="s">
        <v>627</v>
      </c>
      <c r="F598" s="386"/>
      <c r="G598" s="91">
        <f>+ROUND(Návrh!H595,-3)/$X$2</f>
        <v>0</v>
      </c>
      <c r="H598" s="91">
        <f>+ROUND(Návrh!I595,-3)/$X$2</f>
        <v>0</v>
      </c>
      <c r="I598" s="91">
        <f>+ROUND(Návrh!J595,-3)/$X$2</f>
        <v>0</v>
      </c>
      <c r="J598" s="91" t="e">
        <f>+ROUND(Návrh!#REF!,-3)/$X$2</f>
        <v>#REF!</v>
      </c>
      <c r="K598" s="91">
        <f>+ROUND(Návrh!K595,-3)/$X$2</f>
        <v>0</v>
      </c>
      <c r="L598" s="91">
        <f>+ROUND(Návrh!L595,-3)/$X$2</f>
        <v>0</v>
      </c>
      <c r="M598" s="67"/>
    </row>
    <row r="599" spans="1:13" x14ac:dyDescent="0.25">
      <c r="A599" s="38" t="s">
        <v>628</v>
      </c>
      <c r="B599" s="38"/>
      <c r="C599" s="22"/>
      <c r="D599" s="22"/>
      <c r="E599" s="385" t="s">
        <v>629</v>
      </c>
      <c r="F599" s="386"/>
      <c r="G599" s="91">
        <f>+ROUND(Návrh!H596,-3)/$X$2</f>
        <v>0</v>
      </c>
      <c r="H599" s="91">
        <f>+ROUND(Návrh!I596,-3)/$X$2</f>
        <v>0</v>
      </c>
      <c r="I599" s="91">
        <f>+ROUND(Návrh!J596,-3)/$X$2</f>
        <v>0</v>
      </c>
      <c r="J599" s="91" t="e">
        <f>+ROUND(Návrh!#REF!,-3)/$X$2</f>
        <v>#REF!</v>
      </c>
      <c r="K599" s="91">
        <f>+ROUND(Návrh!K596,-3)/$X$2</f>
        <v>0</v>
      </c>
      <c r="L599" s="91">
        <f>+ROUND(Návrh!L596,-3)/$X$2</f>
        <v>0</v>
      </c>
      <c r="M599" s="67"/>
    </row>
    <row r="600" spans="1:13" x14ac:dyDescent="0.25">
      <c r="A600" s="38" t="s">
        <v>630</v>
      </c>
      <c r="B600" s="38"/>
      <c r="C600" s="22"/>
      <c r="D600" s="22"/>
      <c r="E600" s="385" t="s">
        <v>631</v>
      </c>
      <c r="F600" s="386"/>
      <c r="G600" s="91">
        <f>+ROUND(Návrh!H597,-3)/$X$2</f>
        <v>0</v>
      </c>
      <c r="H600" s="91">
        <f>+ROUND(Návrh!I597,-3)/$X$2</f>
        <v>0</v>
      </c>
      <c r="I600" s="91">
        <f>+ROUND(Návrh!J597,-3)/$X$2</f>
        <v>0</v>
      </c>
      <c r="J600" s="91" t="e">
        <f>+ROUND(Návrh!#REF!,-3)/$X$2</f>
        <v>#REF!</v>
      </c>
      <c r="K600" s="91">
        <f>+ROUND(Návrh!K597,-3)/$X$2</f>
        <v>0</v>
      </c>
      <c r="L600" s="91">
        <f>+ROUND(Návrh!L597,-3)/$X$2</f>
        <v>0</v>
      </c>
      <c r="M600" s="67"/>
    </row>
    <row r="601" spans="1:13" x14ac:dyDescent="0.25">
      <c r="A601" s="38" t="s">
        <v>632</v>
      </c>
      <c r="B601" s="38"/>
      <c r="C601" s="22"/>
      <c r="D601" s="22"/>
      <c r="E601" s="385" t="s">
        <v>633</v>
      </c>
      <c r="F601" s="386"/>
      <c r="G601" s="91">
        <f>+ROUND(Návrh!H598,-3)/$X$2</f>
        <v>0</v>
      </c>
      <c r="H601" s="91">
        <f>+ROUND(Návrh!I598,-3)/$X$2</f>
        <v>0</v>
      </c>
      <c r="I601" s="91">
        <f>+ROUND(Návrh!J598,-3)/$X$2</f>
        <v>0</v>
      </c>
      <c r="J601" s="91" t="e">
        <f>+ROUND(Návrh!#REF!,-3)/$X$2</f>
        <v>#REF!</v>
      </c>
      <c r="K601" s="91">
        <f>+ROUND(Návrh!K598,-3)/$X$2</f>
        <v>0</v>
      </c>
      <c r="L601" s="91">
        <f>+ROUND(Návrh!L598,-3)/$X$2</f>
        <v>0</v>
      </c>
      <c r="M601" s="67"/>
    </row>
    <row r="602" spans="1:13" x14ac:dyDescent="0.25">
      <c r="A602" s="38" t="s">
        <v>634</v>
      </c>
      <c r="B602" s="38"/>
      <c r="C602" s="22"/>
      <c r="D602" s="22"/>
      <c r="E602" s="385" t="s">
        <v>635</v>
      </c>
      <c r="F602" s="386"/>
      <c r="G602" s="91">
        <f>+ROUND(Návrh!H599,-3)/$X$2</f>
        <v>0</v>
      </c>
      <c r="H602" s="91">
        <f>+ROUND(Návrh!I599,-3)/$X$2</f>
        <v>0</v>
      </c>
      <c r="I602" s="91">
        <f>+ROUND(Návrh!J599,-3)/$X$2</f>
        <v>0</v>
      </c>
      <c r="J602" s="91" t="e">
        <f>+ROUND(Návrh!#REF!,-3)/$X$2</f>
        <v>#REF!</v>
      </c>
      <c r="K602" s="91">
        <f>+ROUND(Návrh!K599,-3)/$X$2</f>
        <v>0</v>
      </c>
      <c r="L602" s="91">
        <f>+ROUND(Návrh!L599,-3)/$X$2</f>
        <v>0</v>
      </c>
      <c r="M602" s="67"/>
    </row>
    <row r="603" spans="1:13" x14ac:dyDescent="0.25">
      <c r="A603" s="38" t="s">
        <v>636</v>
      </c>
      <c r="B603" s="38"/>
      <c r="C603" s="22"/>
      <c r="D603" s="22"/>
      <c r="E603" s="385" t="s">
        <v>637</v>
      </c>
      <c r="F603" s="386"/>
      <c r="G603" s="91">
        <f>+ROUND(Návrh!H600,-3)/$X$2</f>
        <v>0</v>
      </c>
      <c r="H603" s="91">
        <f>+ROUND(Návrh!I600,-3)/$X$2</f>
        <v>0</v>
      </c>
      <c r="I603" s="91">
        <f>+ROUND(Návrh!J600,-3)/$X$2</f>
        <v>0</v>
      </c>
      <c r="J603" s="91" t="e">
        <f>+ROUND(Návrh!#REF!,-3)/$X$2</f>
        <v>#REF!</v>
      </c>
      <c r="K603" s="91">
        <f>+ROUND(Návrh!K600,-3)/$X$2</f>
        <v>0</v>
      </c>
      <c r="L603" s="91">
        <f>+ROUND(Návrh!L600,-3)/$X$2</f>
        <v>0</v>
      </c>
      <c r="M603" s="67"/>
    </row>
    <row r="604" spans="1:13" x14ac:dyDescent="0.25">
      <c r="A604" s="38" t="s">
        <v>638</v>
      </c>
      <c r="B604" s="38"/>
      <c r="C604" s="22"/>
      <c r="D604" s="22"/>
      <c r="E604" s="385" t="s">
        <v>639</v>
      </c>
      <c r="F604" s="386"/>
      <c r="G604" s="91">
        <f>+ROUND(Návrh!H601,-3)/$X$2</f>
        <v>0</v>
      </c>
      <c r="H604" s="91">
        <f>+ROUND(Návrh!I601,-3)/$X$2</f>
        <v>0</v>
      </c>
      <c r="I604" s="91">
        <f>+ROUND(Návrh!J601,-3)/$X$2</f>
        <v>0</v>
      </c>
      <c r="J604" s="91" t="e">
        <f>+ROUND(Návrh!#REF!,-3)/$X$2</f>
        <v>#REF!</v>
      </c>
      <c r="K604" s="91">
        <f>+ROUND(Návrh!K601,-3)/$X$2</f>
        <v>0</v>
      </c>
      <c r="L604" s="91">
        <f>+ROUND(Návrh!L601,-3)/$X$2</f>
        <v>0</v>
      </c>
      <c r="M604" s="67"/>
    </row>
    <row r="605" spans="1:13" x14ac:dyDescent="0.25">
      <c r="A605" s="38" t="s">
        <v>640</v>
      </c>
      <c r="B605" s="38"/>
      <c r="C605" s="22"/>
      <c r="D605" s="22"/>
      <c r="E605" s="385" t="s">
        <v>641</v>
      </c>
      <c r="F605" s="386"/>
      <c r="G605" s="91">
        <f>+ROUND(Návrh!H602,-3)/$X$2</f>
        <v>0</v>
      </c>
      <c r="H605" s="91">
        <f>+ROUND(Návrh!I602,-3)/$X$2</f>
        <v>0</v>
      </c>
      <c r="I605" s="91">
        <f>+ROUND(Návrh!J602,-3)/$X$2</f>
        <v>0</v>
      </c>
      <c r="J605" s="91" t="e">
        <f>+ROUND(Návrh!#REF!,-3)/$X$2</f>
        <v>#REF!</v>
      </c>
      <c r="K605" s="91">
        <f>+ROUND(Návrh!K602,-3)/$X$2</f>
        <v>0</v>
      </c>
      <c r="L605" s="91">
        <f>+ROUND(Návrh!L602,-3)/$X$2</f>
        <v>0</v>
      </c>
      <c r="M605" s="67"/>
    </row>
    <row r="606" spans="1:13" x14ac:dyDescent="0.25">
      <c r="A606" s="38" t="s">
        <v>642</v>
      </c>
      <c r="B606" s="38"/>
      <c r="C606" s="22"/>
      <c r="D606" s="22"/>
      <c r="E606" s="385" t="s">
        <v>643</v>
      </c>
      <c r="F606" s="386"/>
      <c r="G606" s="91">
        <f>+ROUND(Návrh!H603,-3)/$X$2</f>
        <v>0</v>
      </c>
      <c r="H606" s="91">
        <f>+ROUND(Návrh!I603,-3)/$X$2</f>
        <v>0</v>
      </c>
      <c r="I606" s="91">
        <f>+ROUND(Návrh!J603,-3)/$X$2</f>
        <v>0</v>
      </c>
      <c r="J606" s="91" t="e">
        <f>+ROUND(Návrh!#REF!,-3)/$X$2</f>
        <v>#REF!</v>
      </c>
      <c r="K606" s="91">
        <f>+ROUND(Návrh!K603,-3)/$X$2</f>
        <v>0</v>
      </c>
      <c r="L606" s="91">
        <f>+ROUND(Návrh!L603,-3)/$X$2</f>
        <v>0</v>
      </c>
      <c r="M606" s="67"/>
    </row>
    <row r="607" spans="1:13" x14ac:dyDescent="0.25">
      <c r="A607" s="41" t="s">
        <v>644</v>
      </c>
      <c r="B607" s="41"/>
      <c r="C607" s="40"/>
      <c r="D607" s="40"/>
      <c r="E607" s="383" t="s">
        <v>645</v>
      </c>
      <c r="F607" s="384"/>
      <c r="G607" s="89">
        <f>+ROUND(Návrh!H604,-3)/$X$2</f>
        <v>-48844</v>
      </c>
      <c r="H607" s="89">
        <f>+ROUND(Návrh!I604,-3)/$X$2</f>
        <v>-41891</v>
      </c>
      <c r="I607" s="89">
        <f>+ROUND(Návrh!J604,-3)/$X$2</f>
        <v>-20000</v>
      </c>
      <c r="J607" s="89" t="e">
        <f>+ROUND(Návrh!#REF!,-3)/$X$2</f>
        <v>#REF!</v>
      </c>
      <c r="K607" s="89">
        <f>+ROUND(Návrh!K604,-3)/$X$2</f>
        <v>-38759</v>
      </c>
      <c r="L607" s="89">
        <f>+ROUND(Návrh!L604,-3)/$X$2</f>
        <v>-7500</v>
      </c>
      <c r="M607" s="67"/>
    </row>
    <row r="608" spans="1:13" x14ac:dyDescent="0.25">
      <c r="A608" s="38" t="s">
        <v>646</v>
      </c>
      <c r="B608" s="38"/>
      <c r="C608" s="22"/>
      <c r="D608" s="22"/>
      <c r="E608" s="385" t="s">
        <v>647</v>
      </c>
      <c r="F608" s="386"/>
      <c r="G608" s="91">
        <f>+ROUND(Návrh!H605,-3)/$X$2</f>
        <v>-48844</v>
      </c>
      <c r="H608" s="91">
        <f>+ROUND(Návrh!I605,-3)/$X$2</f>
        <v>-41891</v>
      </c>
      <c r="I608" s="91">
        <f>+ROUND(Návrh!J605,-3)/$X$2</f>
        <v>-20000</v>
      </c>
      <c r="J608" s="91" t="e">
        <f>+ROUND(Návrh!#REF!,-3)/$X$2</f>
        <v>#REF!</v>
      </c>
      <c r="K608" s="91">
        <f>+ROUND(Návrh!K605,-3)/$X$2</f>
        <v>-38759</v>
      </c>
      <c r="L608" s="91">
        <f>+ROUND(Návrh!L605,-3)/$X$2</f>
        <v>-7500</v>
      </c>
      <c r="M608" s="67"/>
    </row>
    <row r="609" spans="1:13" x14ac:dyDescent="0.25">
      <c r="A609" s="26" t="s">
        <v>1457</v>
      </c>
      <c r="B609" s="26"/>
      <c r="C609" s="23"/>
      <c r="D609" s="23"/>
      <c r="E609" s="379" t="s">
        <v>648</v>
      </c>
      <c r="F609" s="380"/>
      <c r="G609" s="92">
        <f>+ROUND(Návrh!H606,-3)/$X$2</f>
        <v>-48844</v>
      </c>
      <c r="H609" s="92">
        <f>+ROUND(Návrh!I606,-3)/$X$2</f>
        <v>-41891</v>
      </c>
      <c r="I609" s="92">
        <f>+ROUND(Návrh!J606,-3)/$X$2</f>
        <v>-20000</v>
      </c>
      <c r="J609" s="92" t="e">
        <f>+ROUND(Návrh!#REF!,-3)/$X$2</f>
        <v>#REF!</v>
      </c>
      <c r="K609" s="92">
        <f>+ROUND(Návrh!K606,-3)/$X$2</f>
        <v>-38759</v>
      </c>
      <c r="L609" s="92">
        <f>+ROUND(Návrh!L606,-3)/$X$2</f>
        <v>-7500</v>
      </c>
      <c r="M609" s="67"/>
    </row>
    <row r="610" spans="1:13" x14ac:dyDescent="0.25">
      <c r="A610" s="42" t="s">
        <v>1458</v>
      </c>
      <c r="B610" s="14"/>
      <c r="C610" s="13"/>
      <c r="D610" s="13"/>
      <c r="E610" s="373" t="s">
        <v>649</v>
      </c>
      <c r="F610" s="374"/>
      <c r="G610" s="88">
        <f>+ROUND(Návrh!H607,-3)/$X$2</f>
        <v>-46429</v>
      </c>
      <c r="H610" s="88">
        <f>+ROUND(Návrh!I607,-3)/$X$2</f>
        <v>-52125</v>
      </c>
      <c r="I610" s="88">
        <f>+ROUND(Návrh!J607,-3)/$X$2</f>
        <v>0</v>
      </c>
      <c r="J610" s="88" t="e">
        <f>+ROUND(Návrh!#REF!,-3)/$X$2</f>
        <v>#REF!</v>
      </c>
      <c r="K610" s="88">
        <f>+ROUND(Návrh!K607,-3)/$X$2</f>
        <v>-42431</v>
      </c>
      <c r="L610" s="88">
        <f>+ROUND(Návrh!L607,-3)/$X$2</f>
        <v>0</v>
      </c>
      <c r="M610" s="67"/>
    </row>
    <row r="611" spans="1:13" x14ac:dyDescent="0.25">
      <c r="A611" s="42" t="s">
        <v>1459</v>
      </c>
      <c r="B611" s="14"/>
      <c r="C611" s="13"/>
      <c r="D611" s="13"/>
      <c r="E611" s="373" t="s">
        <v>650</v>
      </c>
      <c r="F611" s="374"/>
      <c r="G611" s="88">
        <f>+ROUND(Návrh!H608,-3)/$X$2</f>
        <v>50710</v>
      </c>
      <c r="H611" s="88">
        <f>+ROUND(Návrh!I608,-3)/$X$2</f>
        <v>53125</v>
      </c>
      <c r="I611" s="88">
        <f>+ROUND(Návrh!J608,-3)/$X$2</f>
        <v>0</v>
      </c>
      <c r="J611" s="88" t="e">
        <f>+ROUND(Návrh!#REF!,-3)/$X$2</f>
        <v>#REF!</v>
      </c>
      <c r="K611" s="88">
        <f>+ROUND(Návrh!K608,-3)/$X$2</f>
        <v>42892</v>
      </c>
      <c r="L611" s="88">
        <f>+ROUND(Návrh!L608,-3)/$X$2</f>
        <v>0</v>
      </c>
      <c r="M611" s="67"/>
    </row>
    <row r="612" spans="1:13" x14ac:dyDescent="0.25">
      <c r="A612" s="42" t="s">
        <v>1460</v>
      </c>
      <c r="B612" s="27" t="s">
        <v>916</v>
      </c>
      <c r="C612" s="28" t="s">
        <v>923</v>
      </c>
      <c r="D612" s="28" t="s">
        <v>917</v>
      </c>
      <c r="E612" s="373" t="s">
        <v>1684</v>
      </c>
      <c r="F612" s="374"/>
      <c r="G612" s="88">
        <f>+ROUND(Návrh!H609,-3)/$X$2</f>
        <v>-53125</v>
      </c>
      <c r="H612" s="88">
        <f>+ROUND(Návrh!I609,-3)/$X$2</f>
        <v>-42892</v>
      </c>
      <c r="I612" s="88">
        <f>+ROUND(Návrh!J609,-3)/$X$2</f>
        <v>-20000</v>
      </c>
      <c r="J612" s="88" t="e">
        <f>+ROUND(Návrh!#REF!,-3)/$X$2</f>
        <v>#REF!</v>
      </c>
      <c r="K612" s="88">
        <f>+ROUND(Návrh!K609,-3)/$X$2</f>
        <v>-39220</v>
      </c>
      <c r="L612" s="88">
        <f>+ROUND(Návrh!L609,-3)/$X$2</f>
        <v>-7500</v>
      </c>
      <c r="M612" s="67"/>
    </row>
    <row r="613" spans="1:13" x14ac:dyDescent="0.25">
      <c r="A613" s="38" t="s">
        <v>651</v>
      </c>
      <c r="B613" s="38"/>
      <c r="C613" s="22"/>
      <c r="D613" s="22"/>
      <c r="E613" s="385" t="s">
        <v>652</v>
      </c>
      <c r="F613" s="386"/>
      <c r="G613" s="91">
        <f>+ROUND(Návrh!H610,-3)/$X$2</f>
        <v>0</v>
      </c>
      <c r="H613" s="91">
        <f>+ROUND(Návrh!I610,-3)/$X$2</f>
        <v>0</v>
      </c>
      <c r="I613" s="91">
        <f>+ROUND(Návrh!J610,-3)/$X$2</f>
        <v>0</v>
      </c>
      <c r="J613" s="91" t="e">
        <f>+ROUND(Návrh!#REF!,-3)/$X$2</f>
        <v>#REF!</v>
      </c>
      <c r="K613" s="91">
        <f>+ROUND(Návrh!K610,-3)/$X$2</f>
        <v>0</v>
      </c>
      <c r="L613" s="91">
        <f>+ROUND(Návrh!L610,-3)/$X$2</f>
        <v>0</v>
      </c>
      <c r="M613" s="67"/>
    </row>
    <row r="614" spans="1:13" x14ac:dyDescent="0.25">
      <c r="A614" s="38" t="s">
        <v>653</v>
      </c>
      <c r="B614" s="38"/>
      <c r="C614" s="22"/>
      <c r="D614" s="22"/>
      <c r="E614" s="385" t="s">
        <v>654</v>
      </c>
      <c r="F614" s="386"/>
      <c r="G614" s="91">
        <f>+ROUND(Návrh!H611,-3)/$X$2</f>
        <v>0</v>
      </c>
      <c r="H614" s="91">
        <f>+ROUND(Návrh!I611,-3)/$X$2</f>
        <v>0</v>
      </c>
      <c r="I614" s="91">
        <f>+ROUND(Návrh!J611,-3)/$X$2</f>
        <v>0</v>
      </c>
      <c r="J614" s="91" t="e">
        <f>+ROUND(Návrh!#REF!,-3)/$X$2</f>
        <v>#REF!</v>
      </c>
      <c r="K614" s="91">
        <f>+ROUND(Návrh!K611,-3)/$X$2</f>
        <v>0</v>
      </c>
      <c r="L614" s="91">
        <f>+ROUND(Návrh!L611,-3)/$X$2</f>
        <v>0</v>
      </c>
      <c r="M614" s="67"/>
    </row>
    <row r="615" spans="1:13" x14ac:dyDescent="0.25">
      <c r="A615" s="38" t="s">
        <v>655</v>
      </c>
      <c r="B615" s="38"/>
      <c r="C615" s="22"/>
      <c r="D615" s="22"/>
      <c r="E615" s="385" t="s">
        <v>656</v>
      </c>
      <c r="F615" s="386"/>
      <c r="G615" s="91">
        <f>+ROUND(Návrh!H612,-3)/$X$2</f>
        <v>0</v>
      </c>
      <c r="H615" s="91">
        <f>+ROUND(Návrh!I612,-3)/$X$2</f>
        <v>0</v>
      </c>
      <c r="I615" s="91">
        <f>+ROUND(Návrh!J612,-3)/$X$2</f>
        <v>0</v>
      </c>
      <c r="J615" s="91" t="e">
        <f>+ROUND(Návrh!#REF!,-3)/$X$2</f>
        <v>#REF!</v>
      </c>
      <c r="K615" s="91">
        <f>+ROUND(Návrh!K612,-3)/$X$2</f>
        <v>0</v>
      </c>
      <c r="L615" s="91">
        <f>+ROUND(Návrh!L612,-3)/$X$2</f>
        <v>0</v>
      </c>
      <c r="M615" s="67"/>
    </row>
    <row r="616" spans="1:13" x14ac:dyDescent="0.25">
      <c r="A616" s="38" t="s">
        <v>657</v>
      </c>
      <c r="B616" s="38"/>
      <c r="C616" s="22"/>
      <c r="D616" s="22"/>
      <c r="E616" s="385" t="s">
        <v>658</v>
      </c>
      <c r="F616" s="386"/>
      <c r="G616" s="91">
        <f>+ROUND(Návrh!H613,-3)/$X$2</f>
        <v>0</v>
      </c>
      <c r="H616" s="91">
        <f>+ROUND(Návrh!I613,-3)/$X$2</f>
        <v>0</v>
      </c>
      <c r="I616" s="91">
        <f>+ROUND(Návrh!J613,-3)/$X$2</f>
        <v>0</v>
      </c>
      <c r="J616" s="91" t="e">
        <f>+ROUND(Návrh!#REF!,-3)/$X$2</f>
        <v>#REF!</v>
      </c>
      <c r="K616" s="91">
        <f>+ROUND(Návrh!K613,-3)/$X$2</f>
        <v>0</v>
      </c>
      <c r="L616" s="91">
        <f>+ROUND(Návrh!L613,-3)/$X$2</f>
        <v>0</v>
      </c>
      <c r="M616" s="67"/>
    </row>
    <row r="617" spans="1:13" x14ac:dyDescent="0.25">
      <c r="A617" s="38" t="s">
        <v>659</v>
      </c>
      <c r="B617" s="38"/>
      <c r="C617" s="22"/>
      <c r="D617" s="22"/>
      <c r="E617" s="385" t="s">
        <v>660</v>
      </c>
      <c r="F617" s="386"/>
      <c r="G617" s="91">
        <f>+ROUND(Návrh!H614,-3)/$X$2</f>
        <v>0</v>
      </c>
      <c r="H617" s="91">
        <f>+ROUND(Návrh!I614,-3)/$X$2</f>
        <v>0</v>
      </c>
      <c r="I617" s="91">
        <f>+ROUND(Návrh!J614,-3)/$X$2</f>
        <v>0</v>
      </c>
      <c r="J617" s="91" t="e">
        <f>+ROUND(Návrh!#REF!,-3)/$X$2</f>
        <v>#REF!</v>
      </c>
      <c r="K617" s="91">
        <f>+ROUND(Návrh!K614,-3)/$X$2</f>
        <v>0</v>
      </c>
      <c r="L617" s="91">
        <f>+ROUND(Návrh!L614,-3)/$X$2</f>
        <v>0</v>
      </c>
      <c r="M617" s="67"/>
    </row>
    <row r="618" spans="1:13" x14ac:dyDescent="0.25">
      <c r="A618" s="38" t="s">
        <v>661</v>
      </c>
      <c r="B618" s="38"/>
      <c r="C618" s="22"/>
      <c r="D618" s="22"/>
      <c r="E618" s="385" t="s">
        <v>662</v>
      </c>
      <c r="F618" s="386"/>
      <c r="G618" s="91">
        <f>+ROUND(Návrh!H615,-3)/$X$2</f>
        <v>0</v>
      </c>
      <c r="H618" s="91">
        <f>+ROUND(Návrh!I615,-3)/$X$2</f>
        <v>0</v>
      </c>
      <c r="I618" s="91">
        <f>+ROUND(Návrh!J615,-3)/$X$2</f>
        <v>0</v>
      </c>
      <c r="J618" s="91" t="e">
        <f>+ROUND(Návrh!#REF!,-3)/$X$2</f>
        <v>#REF!</v>
      </c>
      <c r="K618" s="91">
        <f>+ROUND(Návrh!K615,-3)/$X$2</f>
        <v>0</v>
      </c>
      <c r="L618" s="91">
        <f>+ROUND(Návrh!L615,-3)/$X$2</f>
        <v>0</v>
      </c>
      <c r="M618" s="67"/>
    </row>
    <row r="619" spans="1:13" x14ac:dyDescent="0.25">
      <c r="A619" s="38" t="s">
        <v>663</v>
      </c>
      <c r="B619" s="38"/>
      <c r="C619" s="22"/>
      <c r="D619" s="22"/>
      <c r="E619" s="385" t="s">
        <v>664</v>
      </c>
      <c r="F619" s="386"/>
      <c r="G619" s="91">
        <f>+ROUND(Návrh!H616,-3)/$X$2</f>
        <v>0</v>
      </c>
      <c r="H619" s="91">
        <f>+ROUND(Návrh!I616,-3)/$X$2</f>
        <v>0</v>
      </c>
      <c r="I619" s="91">
        <f>+ROUND(Návrh!J616,-3)/$X$2</f>
        <v>0</v>
      </c>
      <c r="J619" s="91" t="e">
        <f>+ROUND(Návrh!#REF!,-3)/$X$2</f>
        <v>#REF!</v>
      </c>
      <c r="K619" s="91">
        <f>+ROUND(Návrh!K616,-3)/$X$2</f>
        <v>0</v>
      </c>
      <c r="L619" s="91">
        <f>+ROUND(Návrh!L616,-3)/$X$2</f>
        <v>0</v>
      </c>
      <c r="M619" s="67"/>
    </row>
    <row r="620" spans="1:13" x14ac:dyDescent="0.25">
      <c r="A620" s="38" t="s">
        <v>665</v>
      </c>
      <c r="B620" s="38"/>
      <c r="C620" s="22"/>
      <c r="D620" s="22"/>
      <c r="E620" s="385" t="s">
        <v>666</v>
      </c>
      <c r="F620" s="386"/>
      <c r="G620" s="91">
        <f>+ROUND(Návrh!H617,-3)/$X$2</f>
        <v>0</v>
      </c>
      <c r="H620" s="91">
        <f>+ROUND(Návrh!I617,-3)/$X$2</f>
        <v>0</v>
      </c>
      <c r="I620" s="91">
        <f>+ROUND(Návrh!J617,-3)/$X$2</f>
        <v>0</v>
      </c>
      <c r="J620" s="91" t="e">
        <f>+ROUND(Návrh!#REF!,-3)/$X$2</f>
        <v>#REF!</v>
      </c>
      <c r="K620" s="91">
        <f>+ROUND(Návrh!K617,-3)/$X$2</f>
        <v>0</v>
      </c>
      <c r="L620" s="91">
        <f>+ROUND(Návrh!L617,-3)/$X$2</f>
        <v>0</v>
      </c>
      <c r="M620" s="67"/>
    </row>
    <row r="621" spans="1:13" x14ac:dyDescent="0.25">
      <c r="A621" s="62" t="s">
        <v>667</v>
      </c>
      <c r="B621" s="62"/>
      <c r="C621" s="63"/>
      <c r="D621" s="63"/>
      <c r="E621" s="415" t="s">
        <v>668</v>
      </c>
      <c r="F621" s="416"/>
      <c r="G621" s="96">
        <f>+ROUND(Návrh!H618,-3)/$X$2</f>
        <v>5951586</v>
      </c>
      <c r="H621" s="96">
        <f>+ROUND(Návrh!I618,-3)/$X$2</f>
        <v>6702755</v>
      </c>
      <c r="I621" s="96">
        <f>+ROUND(Návrh!J618,-3)/$X$2</f>
        <v>7003666</v>
      </c>
      <c r="J621" s="96" t="e">
        <f>+ROUND(Návrh!#REF!,-3)/$X$2</f>
        <v>#REF!</v>
      </c>
      <c r="K621" s="96">
        <f>+ROUND(Návrh!K618,-3)/$X$2</f>
        <v>7378051</v>
      </c>
      <c r="L621" s="96">
        <f>+ROUND(Návrh!L618,-3)/$X$2</f>
        <v>7718184</v>
      </c>
      <c r="M621" s="100"/>
    </row>
    <row r="622" spans="1:13" x14ac:dyDescent="0.25">
      <c r="A622" s="58" t="s">
        <v>669</v>
      </c>
      <c r="B622" s="60"/>
      <c r="C622" s="59"/>
      <c r="D622" s="59"/>
      <c r="E622" s="397" t="s">
        <v>670</v>
      </c>
      <c r="F622" s="398"/>
      <c r="G622" s="97">
        <f>+ROUND(Návrh!H619,-3)/$X$2</f>
        <v>5712013</v>
      </c>
      <c r="H622" s="97">
        <f>+ROUND(Návrh!I619,-3)/$X$2</f>
        <v>6273087</v>
      </c>
      <c r="I622" s="97">
        <f>+ROUND(Návrh!J619,-3)/$X$2</f>
        <v>6603247</v>
      </c>
      <c r="J622" s="97" t="e">
        <f>+ROUND(Návrh!#REF!,-3)/$X$2</f>
        <v>#REF!</v>
      </c>
      <c r="K622" s="97">
        <f>+ROUND(Návrh!K619,-3)/$X$2</f>
        <v>6915308</v>
      </c>
      <c r="L622" s="97">
        <f>+ROUND(Návrh!L619,-3)/$X$2</f>
        <v>7316259</v>
      </c>
      <c r="M622" s="100"/>
    </row>
    <row r="623" spans="1:13" x14ac:dyDescent="0.25">
      <c r="A623" s="51" t="s">
        <v>671</v>
      </c>
      <c r="B623" s="51"/>
      <c r="C623" s="49"/>
      <c r="D623" s="49"/>
      <c r="E623" s="395" t="s">
        <v>672</v>
      </c>
      <c r="F623" s="396"/>
      <c r="G623" s="98">
        <f>+ROUND(Návrh!H620,-3)/$X$2</f>
        <v>0</v>
      </c>
      <c r="H623" s="98">
        <f>+ROUND(Návrh!I620,-3)/$X$2</f>
        <v>0</v>
      </c>
      <c r="I623" s="98">
        <f>+ROUND(Návrh!J620,-3)/$X$2</f>
        <v>0</v>
      </c>
      <c r="J623" s="98" t="e">
        <f>+ROUND(Návrh!#REF!,-3)/$X$2</f>
        <v>#REF!</v>
      </c>
      <c r="K623" s="98">
        <f>+ROUND(Návrh!K620,-3)/$X$2</f>
        <v>0</v>
      </c>
      <c r="L623" s="98">
        <f>+ROUND(Návrh!L620,-3)/$X$2</f>
        <v>0</v>
      </c>
      <c r="M623" s="100"/>
    </row>
    <row r="624" spans="1:13" x14ac:dyDescent="0.25">
      <c r="A624" s="51" t="s">
        <v>673</v>
      </c>
      <c r="B624" s="51"/>
      <c r="C624" s="49"/>
      <c r="D624" s="49"/>
      <c r="E624" s="395" t="s">
        <v>674</v>
      </c>
      <c r="F624" s="396"/>
      <c r="G624" s="98">
        <f>+ROUND(Návrh!H621,-3)/$X$2</f>
        <v>5307938</v>
      </c>
      <c r="H624" s="98">
        <f>+ROUND(Návrh!I621,-3)/$X$2</f>
        <v>5833749</v>
      </c>
      <c r="I624" s="98">
        <f>+ROUND(Návrh!J621,-3)/$X$2</f>
        <v>6146618</v>
      </c>
      <c r="J624" s="98" t="e">
        <f>+ROUND(Návrh!#REF!,-3)/$X$2</f>
        <v>#REF!</v>
      </c>
      <c r="K624" s="98">
        <f>+ROUND(Návrh!K621,-3)/$X$2</f>
        <v>6450241</v>
      </c>
      <c r="L624" s="98">
        <f>+ROUND(Návrh!L621,-3)/$X$2</f>
        <v>6833450</v>
      </c>
      <c r="M624" s="100"/>
    </row>
    <row r="625" spans="1:13" x14ac:dyDescent="0.25">
      <c r="A625" s="55" t="s">
        <v>1461</v>
      </c>
      <c r="B625" s="55"/>
      <c r="C625" s="53"/>
      <c r="D625" s="53"/>
      <c r="E625" s="381" t="s">
        <v>675</v>
      </c>
      <c r="F625" s="382"/>
      <c r="G625" s="99">
        <f>+ROUND(Návrh!H622,-3)/$X$2</f>
        <v>40780</v>
      </c>
      <c r="H625" s="99">
        <f>+ROUND(Návrh!I622,-3)/$X$2</f>
        <v>47495</v>
      </c>
      <c r="I625" s="99">
        <f>+ROUND(Návrh!J622,-3)/$X$2</f>
        <v>46618</v>
      </c>
      <c r="J625" s="99" t="e">
        <f>+ROUND(Návrh!#REF!,-3)/$X$2</f>
        <v>#REF!</v>
      </c>
      <c r="K625" s="99">
        <f>+ROUND(Návrh!K622,-3)/$X$2</f>
        <v>51249</v>
      </c>
      <c r="L625" s="99">
        <f>+ROUND(Návrh!L622,-3)/$X$2</f>
        <v>51600</v>
      </c>
      <c r="M625" s="100"/>
    </row>
    <row r="626" spans="1:13" x14ac:dyDescent="0.25">
      <c r="A626" s="42" t="s">
        <v>1462</v>
      </c>
      <c r="B626" s="27" t="s">
        <v>916</v>
      </c>
      <c r="C626" s="28" t="s">
        <v>923</v>
      </c>
      <c r="D626" s="28" t="s">
        <v>917</v>
      </c>
      <c r="E626" s="373" t="s">
        <v>676</v>
      </c>
      <c r="F626" s="374"/>
      <c r="G626" s="88">
        <f>+ROUND(Návrh!H623,-3)/$X$2</f>
        <v>4854</v>
      </c>
      <c r="H626" s="88">
        <f>+ROUND(Návrh!I623,-3)/$X$2</f>
        <v>4814</v>
      </c>
      <c r="I626" s="88">
        <f>+ROUND(Návrh!J623,-3)/$X$2</f>
        <v>4900</v>
      </c>
      <c r="J626" s="88" t="e">
        <f>+ROUND(Návrh!#REF!,-3)/$X$2</f>
        <v>#REF!</v>
      </c>
      <c r="K626" s="88">
        <f>+ROUND(Návrh!K623,-3)/$X$2</f>
        <v>4278</v>
      </c>
      <c r="L626" s="88">
        <f>+ROUND(Návrh!L623,-3)/$X$2</f>
        <v>4200</v>
      </c>
      <c r="M626" s="100"/>
    </row>
    <row r="627" spans="1:13" x14ac:dyDescent="0.25">
      <c r="A627" s="42" t="s">
        <v>1463</v>
      </c>
      <c r="B627" s="27" t="s">
        <v>916</v>
      </c>
      <c r="C627" s="28" t="s">
        <v>923</v>
      </c>
      <c r="D627" s="28" t="s">
        <v>917</v>
      </c>
      <c r="E627" s="373" t="s">
        <v>677</v>
      </c>
      <c r="F627" s="374"/>
      <c r="G627" s="88">
        <f>+ROUND(Návrh!H624,-3)/$X$2</f>
        <v>968</v>
      </c>
      <c r="H627" s="88">
        <f>+ROUND(Návrh!I624,-3)/$X$2</f>
        <v>1068</v>
      </c>
      <c r="I627" s="88">
        <f>+ROUND(Návrh!J624,-3)/$X$2</f>
        <v>1150</v>
      </c>
      <c r="J627" s="88" t="e">
        <f>+ROUND(Návrh!#REF!,-3)/$X$2</f>
        <v>#REF!</v>
      </c>
      <c r="K627" s="88">
        <f>+ROUND(Návrh!K624,-3)/$X$2</f>
        <v>1234</v>
      </c>
      <c r="L627" s="88">
        <f>+ROUND(Návrh!L624,-3)/$X$2</f>
        <v>1150</v>
      </c>
      <c r="M627" s="100"/>
    </row>
    <row r="628" spans="1:13" x14ac:dyDescent="0.25">
      <c r="A628" s="42" t="s">
        <v>1464</v>
      </c>
      <c r="B628" s="27" t="s">
        <v>916</v>
      </c>
      <c r="C628" s="28" t="s">
        <v>923</v>
      </c>
      <c r="D628" s="28" t="s">
        <v>917</v>
      </c>
      <c r="E628" s="373" t="s">
        <v>678</v>
      </c>
      <c r="F628" s="374"/>
      <c r="G628" s="88">
        <f>+ROUND(Návrh!H625,-3)/$X$2</f>
        <v>1628</v>
      </c>
      <c r="H628" s="88">
        <f>+ROUND(Návrh!I625,-3)/$X$2</f>
        <v>1779</v>
      </c>
      <c r="I628" s="88">
        <f>+ROUND(Návrh!J625,-3)/$X$2</f>
        <v>1730</v>
      </c>
      <c r="J628" s="88" t="e">
        <f>+ROUND(Návrh!#REF!,-3)/$X$2</f>
        <v>#REF!</v>
      </c>
      <c r="K628" s="88">
        <f>+ROUND(Návrh!K625,-3)/$X$2</f>
        <v>1890</v>
      </c>
      <c r="L628" s="88">
        <f>+ROUND(Návrh!L625,-3)/$X$2</f>
        <v>1900</v>
      </c>
      <c r="M628" s="100"/>
    </row>
    <row r="629" spans="1:13" x14ac:dyDescent="0.25">
      <c r="A629" s="42" t="s">
        <v>1465</v>
      </c>
      <c r="B629" s="27" t="s">
        <v>916</v>
      </c>
      <c r="C629" s="28" t="s">
        <v>923</v>
      </c>
      <c r="D629" s="28" t="s">
        <v>917</v>
      </c>
      <c r="E629" s="373" t="s">
        <v>679</v>
      </c>
      <c r="F629" s="374"/>
      <c r="G629" s="88">
        <f>+ROUND(Návrh!H626,-3)/$X$2</f>
        <v>509</v>
      </c>
      <c r="H629" s="88">
        <f>+ROUND(Návrh!I626,-3)/$X$2</f>
        <v>728</v>
      </c>
      <c r="I629" s="88">
        <f>+ROUND(Návrh!J626,-3)/$X$2</f>
        <v>690</v>
      </c>
      <c r="J629" s="88" t="e">
        <f>+ROUND(Návrh!#REF!,-3)/$X$2</f>
        <v>#REF!</v>
      </c>
      <c r="K629" s="88">
        <f>+ROUND(Návrh!K626,-3)/$X$2</f>
        <v>778</v>
      </c>
      <c r="L629" s="88">
        <f>+ROUND(Návrh!L626,-3)/$X$2</f>
        <v>750</v>
      </c>
      <c r="M629" s="100"/>
    </row>
    <row r="630" spans="1:13" x14ac:dyDescent="0.25">
      <c r="A630" s="42" t="s">
        <v>1466</v>
      </c>
      <c r="B630" s="27" t="s">
        <v>916</v>
      </c>
      <c r="C630" s="28" t="s">
        <v>923</v>
      </c>
      <c r="D630" s="28" t="s">
        <v>917</v>
      </c>
      <c r="E630" s="373" t="s">
        <v>680</v>
      </c>
      <c r="F630" s="374"/>
      <c r="G630" s="88">
        <f>+ROUND(Návrh!H627,-3)/$X$2</f>
        <v>4374</v>
      </c>
      <c r="H630" s="88">
        <f>+ROUND(Návrh!I627,-3)/$X$2</f>
        <v>7170</v>
      </c>
      <c r="I630" s="88">
        <f>+ROUND(Návrh!J627,-3)/$X$2</f>
        <v>7148</v>
      </c>
      <c r="J630" s="88" t="e">
        <f>+ROUND(Návrh!#REF!,-3)/$X$2</f>
        <v>#REF!</v>
      </c>
      <c r="K630" s="88">
        <f>+ROUND(Návrh!K627,-3)/$X$2</f>
        <v>8904</v>
      </c>
      <c r="L630" s="88">
        <f>+ROUND(Návrh!L627,-3)/$X$2</f>
        <v>8600</v>
      </c>
      <c r="M630" s="100"/>
    </row>
    <row r="631" spans="1:13" x14ac:dyDescent="0.25">
      <c r="A631" s="42" t="s">
        <v>1467</v>
      </c>
      <c r="B631" s="27" t="s">
        <v>916</v>
      </c>
      <c r="C631" s="28" t="s">
        <v>923</v>
      </c>
      <c r="D631" s="28" t="s">
        <v>917</v>
      </c>
      <c r="E631" s="373" t="s">
        <v>681</v>
      </c>
      <c r="F631" s="374"/>
      <c r="G631" s="88">
        <f>+ROUND(Návrh!H628,-3)/$X$2</f>
        <v>28448</v>
      </c>
      <c r="H631" s="88">
        <f>+ROUND(Návrh!I628,-3)/$X$2</f>
        <v>31936</v>
      </c>
      <c r="I631" s="88">
        <f>+ROUND(Návrh!J628,-3)/$X$2</f>
        <v>31000</v>
      </c>
      <c r="J631" s="88" t="e">
        <f>+ROUND(Návrh!#REF!,-3)/$X$2</f>
        <v>#REF!</v>
      </c>
      <c r="K631" s="88">
        <f>+ROUND(Návrh!K628,-3)/$X$2</f>
        <v>34164</v>
      </c>
      <c r="L631" s="88">
        <f>+ROUND(Návrh!L628,-3)/$X$2</f>
        <v>35000</v>
      </c>
      <c r="M631" s="100"/>
    </row>
    <row r="632" spans="1:13" x14ac:dyDescent="0.25">
      <c r="A632" s="55" t="s">
        <v>1468</v>
      </c>
      <c r="B632" s="55"/>
      <c r="C632" s="53"/>
      <c r="D632" s="53"/>
      <c r="E632" s="381" t="s">
        <v>682</v>
      </c>
      <c r="F632" s="382"/>
      <c r="G632" s="99">
        <f>+ROUND(Návrh!H629,-3)/$X$2</f>
        <v>12448</v>
      </c>
      <c r="H632" s="99">
        <f>+ROUND(Návrh!I629,-3)/$X$2</f>
        <v>13963</v>
      </c>
      <c r="I632" s="99">
        <f>+ROUND(Návrh!J629,-3)/$X$2</f>
        <v>13000</v>
      </c>
      <c r="J632" s="99" t="e">
        <f>+ROUND(Návrh!#REF!,-3)/$X$2</f>
        <v>#REF!</v>
      </c>
      <c r="K632" s="99">
        <f>+ROUND(Návrh!K629,-3)/$X$2</f>
        <v>13743</v>
      </c>
      <c r="L632" s="99">
        <f>+ROUND(Návrh!L629,-3)/$X$2</f>
        <v>15050</v>
      </c>
      <c r="M632" s="100"/>
    </row>
    <row r="633" spans="1:13" x14ac:dyDescent="0.25">
      <c r="A633" s="42" t="s">
        <v>1469</v>
      </c>
      <c r="B633" s="20" t="s">
        <v>922</v>
      </c>
      <c r="C633" s="20" t="s">
        <v>923</v>
      </c>
      <c r="D633" s="20" t="s">
        <v>1114</v>
      </c>
      <c r="E633" s="373" t="s">
        <v>683</v>
      </c>
      <c r="F633" s="374"/>
      <c r="G633" s="88">
        <f>+ROUND(Návrh!H630,-3)/$X$2</f>
        <v>5420</v>
      </c>
      <c r="H633" s="88">
        <f>+ROUND(Návrh!I630,-3)/$X$2</f>
        <v>6567</v>
      </c>
      <c r="I633" s="88">
        <f>+ROUND(Návrh!J630,-3)/$X$2</f>
        <v>10500</v>
      </c>
      <c r="J633" s="88" t="e">
        <f>+ROUND(Návrh!#REF!,-3)/$X$2</f>
        <v>#REF!</v>
      </c>
      <c r="K633" s="88">
        <f>+ROUND(Návrh!K630,-3)/$X$2</f>
        <v>10207</v>
      </c>
      <c r="L633" s="88">
        <f>+ROUND(Návrh!L630,-3)/$X$2</f>
        <v>10250</v>
      </c>
      <c r="M633" s="100"/>
    </row>
    <row r="634" spans="1:13" x14ac:dyDescent="0.25">
      <c r="A634" s="42" t="s">
        <v>1470</v>
      </c>
      <c r="B634" s="20" t="s">
        <v>922</v>
      </c>
      <c r="C634" s="20" t="s">
        <v>923</v>
      </c>
      <c r="D634" s="20" t="s">
        <v>1114</v>
      </c>
      <c r="E634" s="373" t="s">
        <v>684</v>
      </c>
      <c r="F634" s="374"/>
      <c r="G634" s="88">
        <f>+ROUND(Návrh!H631,-3)/$X$2</f>
        <v>2287</v>
      </c>
      <c r="H634" s="88">
        <f>+ROUND(Návrh!I631,-3)/$X$2</f>
        <v>2379</v>
      </c>
      <c r="I634" s="88">
        <f>+ROUND(Návrh!J631,-3)/$X$2</f>
        <v>2500</v>
      </c>
      <c r="J634" s="88" t="e">
        <f>+ROUND(Návrh!#REF!,-3)/$X$2</f>
        <v>#REF!</v>
      </c>
      <c r="K634" s="88">
        <f>+ROUND(Návrh!K631,-3)/$X$2</f>
        <v>3536</v>
      </c>
      <c r="L634" s="88">
        <f>+ROUND(Návrh!L631,-3)/$X$2</f>
        <v>4800</v>
      </c>
      <c r="M634" s="100"/>
    </row>
    <row r="635" spans="1:13" x14ac:dyDescent="0.25">
      <c r="A635" s="42" t="s">
        <v>1471</v>
      </c>
      <c r="B635" s="14"/>
      <c r="C635" s="13"/>
      <c r="D635" s="13"/>
      <c r="E635" s="373" t="s">
        <v>685</v>
      </c>
      <c r="F635" s="374"/>
      <c r="G635" s="88">
        <f>+ROUND(Návrh!H632,-3)/$X$2</f>
        <v>4741</v>
      </c>
      <c r="H635" s="88">
        <f>+ROUND(Návrh!I632,-3)/$X$2</f>
        <v>5017</v>
      </c>
      <c r="I635" s="88">
        <f>+ROUND(Návrh!J632,-3)/$X$2</f>
        <v>0</v>
      </c>
      <c r="J635" s="88" t="e">
        <f>+ROUND(Návrh!#REF!,-3)/$X$2</f>
        <v>#REF!</v>
      </c>
      <c r="K635" s="88">
        <f>+ROUND(Návrh!K632,-3)/$X$2</f>
        <v>0</v>
      </c>
      <c r="L635" s="88">
        <f>+ROUND(Návrh!L632,-3)/$X$2</f>
        <v>0</v>
      </c>
      <c r="M635" s="100"/>
    </row>
    <row r="636" spans="1:13" x14ac:dyDescent="0.25">
      <c r="A636" s="55" t="s">
        <v>1472</v>
      </c>
      <c r="B636" s="55"/>
      <c r="C636" s="53"/>
      <c r="D636" s="53"/>
      <c r="E636" s="381" t="s">
        <v>686</v>
      </c>
      <c r="F636" s="382"/>
      <c r="G636" s="99">
        <f>+ROUND(Návrh!H633,-3)/$X$2</f>
        <v>36308</v>
      </c>
      <c r="H636" s="99">
        <f>+ROUND(Návrh!I633,-3)/$X$2</f>
        <v>34913</v>
      </c>
      <c r="I636" s="99">
        <f>+ROUND(Návrh!J633,-3)/$X$2</f>
        <v>0</v>
      </c>
      <c r="J636" s="99" t="e">
        <f>+ROUND(Návrh!#REF!,-3)/$X$2</f>
        <v>#REF!</v>
      </c>
      <c r="K636" s="99">
        <f>+ROUND(Návrh!K633,-3)/$X$2</f>
        <v>0</v>
      </c>
      <c r="L636" s="99">
        <f>+ROUND(Návrh!L633,-3)/$X$2</f>
        <v>0</v>
      </c>
      <c r="M636" s="100"/>
    </row>
    <row r="637" spans="1:13" x14ac:dyDescent="0.25">
      <c r="A637" s="42" t="s">
        <v>1473</v>
      </c>
      <c r="B637" s="20"/>
      <c r="C637" s="20"/>
      <c r="D637" s="20"/>
      <c r="E637" s="373" t="s">
        <v>687</v>
      </c>
      <c r="F637" s="374"/>
      <c r="G637" s="88">
        <f>+ROUND(Návrh!H634,-3)/$X$2</f>
        <v>3718</v>
      </c>
      <c r="H637" s="88">
        <f>+ROUND(Návrh!I634,-3)/$X$2</f>
        <v>5920</v>
      </c>
      <c r="I637" s="88">
        <f>+ROUND(Návrh!J634,-3)/$X$2</f>
        <v>0</v>
      </c>
      <c r="J637" s="88" t="e">
        <f>+ROUND(Návrh!#REF!,-3)/$X$2</f>
        <v>#REF!</v>
      </c>
      <c r="K637" s="88">
        <f>+ROUND(Návrh!K634,-3)/$X$2</f>
        <v>0</v>
      </c>
      <c r="L637" s="88">
        <f>+ROUND(Návrh!L634,-3)/$X$2</f>
        <v>0</v>
      </c>
      <c r="M637" s="100"/>
    </row>
    <row r="638" spans="1:13" x14ac:dyDescent="0.25">
      <c r="A638" s="42" t="s">
        <v>1474</v>
      </c>
      <c r="B638" s="20"/>
      <c r="C638" s="20"/>
      <c r="D638" s="20"/>
      <c r="E638" s="373" t="s">
        <v>688</v>
      </c>
      <c r="F638" s="374"/>
      <c r="G638" s="88">
        <f>+ROUND(Návrh!H635,-3)/$X$2</f>
        <v>12395</v>
      </c>
      <c r="H638" s="88">
        <f>+ROUND(Návrh!I635,-3)/$X$2</f>
        <v>12180</v>
      </c>
      <c r="I638" s="88">
        <f>+ROUND(Návrh!J635,-3)/$X$2</f>
        <v>0</v>
      </c>
      <c r="J638" s="88" t="e">
        <f>+ROUND(Návrh!#REF!,-3)/$X$2</f>
        <v>#REF!</v>
      </c>
      <c r="K638" s="88">
        <f>+ROUND(Návrh!K635,-3)/$X$2</f>
        <v>0</v>
      </c>
      <c r="L638" s="88">
        <f>+ROUND(Návrh!L635,-3)/$X$2</f>
        <v>0</v>
      </c>
      <c r="M638" s="100"/>
    </row>
    <row r="639" spans="1:13" x14ac:dyDescent="0.25">
      <c r="A639" s="42" t="s">
        <v>1475</v>
      </c>
      <c r="B639" s="20"/>
      <c r="C639" s="20"/>
      <c r="D639" s="20"/>
      <c r="E639" s="373" t="s">
        <v>689</v>
      </c>
      <c r="F639" s="374"/>
      <c r="G639" s="88">
        <f>+ROUND(Návrh!H636,-3)/$X$2</f>
        <v>3553</v>
      </c>
      <c r="H639" s="88">
        <f>+ROUND(Návrh!I636,-3)/$X$2</f>
        <v>2021</v>
      </c>
      <c r="I639" s="88">
        <f>+ROUND(Návrh!J636,-3)/$X$2</f>
        <v>0</v>
      </c>
      <c r="J639" s="88" t="e">
        <f>+ROUND(Návrh!#REF!,-3)/$X$2</f>
        <v>#REF!</v>
      </c>
      <c r="K639" s="88">
        <f>+ROUND(Návrh!K636,-3)/$X$2</f>
        <v>0</v>
      </c>
      <c r="L639" s="88">
        <f>+ROUND(Návrh!L636,-3)/$X$2</f>
        <v>0</v>
      </c>
      <c r="M639" s="100"/>
    </row>
    <row r="640" spans="1:13" x14ac:dyDescent="0.25">
      <c r="A640" s="42" t="s">
        <v>1476</v>
      </c>
      <c r="B640" s="20"/>
      <c r="C640" s="20"/>
      <c r="D640" s="20"/>
      <c r="E640" s="373" t="s">
        <v>690</v>
      </c>
      <c r="F640" s="374"/>
      <c r="G640" s="88">
        <f>+ROUND(Návrh!H637,-3)/$X$2</f>
        <v>17</v>
      </c>
      <c r="H640" s="88">
        <f>+ROUND(Návrh!I637,-3)/$X$2</f>
        <v>0</v>
      </c>
      <c r="I640" s="88">
        <f>+ROUND(Návrh!J637,-3)/$X$2</f>
        <v>0</v>
      </c>
      <c r="J640" s="88" t="e">
        <f>+ROUND(Návrh!#REF!,-3)/$X$2</f>
        <v>#REF!</v>
      </c>
      <c r="K640" s="88">
        <f>+ROUND(Návrh!K637,-3)/$X$2</f>
        <v>0</v>
      </c>
      <c r="L640" s="88">
        <f>+ROUND(Návrh!L637,-3)/$X$2</f>
        <v>0</v>
      </c>
      <c r="M640" s="100"/>
    </row>
    <row r="641" spans="1:13" x14ac:dyDescent="0.25">
      <c r="A641" s="42" t="s">
        <v>1477</v>
      </c>
      <c r="B641" s="20"/>
      <c r="C641" s="20"/>
      <c r="D641" s="20"/>
      <c r="E641" s="373" t="s">
        <v>691</v>
      </c>
      <c r="F641" s="374"/>
      <c r="G641" s="88">
        <f>+ROUND(Návrh!H638,-3)/$X$2</f>
        <v>16461</v>
      </c>
      <c r="H641" s="88">
        <f>+ROUND(Návrh!I638,-3)/$X$2</f>
        <v>14538</v>
      </c>
      <c r="I641" s="88">
        <f>+ROUND(Návrh!J638,-3)/$X$2</f>
        <v>0</v>
      </c>
      <c r="J641" s="88" t="e">
        <f>+ROUND(Návrh!#REF!,-3)/$X$2</f>
        <v>#REF!</v>
      </c>
      <c r="K641" s="88">
        <f>+ROUND(Návrh!K638,-3)/$X$2</f>
        <v>0</v>
      </c>
      <c r="L641" s="88">
        <f>+ROUND(Návrh!L638,-3)/$X$2</f>
        <v>0</v>
      </c>
      <c r="M641" s="100"/>
    </row>
    <row r="642" spans="1:13" x14ac:dyDescent="0.25">
      <c r="A642" s="42" t="s">
        <v>1478</v>
      </c>
      <c r="B642" s="20"/>
      <c r="C642" s="20"/>
      <c r="D642" s="20"/>
      <c r="E642" s="373" t="s">
        <v>692</v>
      </c>
      <c r="F642" s="374"/>
      <c r="G642" s="88">
        <f>+ROUND(Návrh!H639,-3)/$X$2</f>
        <v>163</v>
      </c>
      <c r="H642" s="88">
        <f>+ROUND(Návrh!I639,-3)/$X$2</f>
        <v>254</v>
      </c>
      <c r="I642" s="88">
        <f>+ROUND(Návrh!J639,-3)/$X$2</f>
        <v>0</v>
      </c>
      <c r="J642" s="88" t="e">
        <f>+ROUND(Návrh!#REF!,-3)/$X$2</f>
        <v>#REF!</v>
      </c>
      <c r="K642" s="88">
        <f>+ROUND(Návrh!K639,-3)/$X$2</f>
        <v>0</v>
      </c>
      <c r="L642" s="88">
        <f>+ROUND(Návrh!L639,-3)/$X$2</f>
        <v>0</v>
      </c>
      <c r="M642" s="100"/>
    </row>
    <row r="643" spans="1:13" x14ac:dyDescent="0.25">
      <c r="A643" s="55" t="s">
        <v>1479</v>
      </c>
      <c r="B643" s="55"/>
      <c r="C643" s="53"/>
      <c r="D643" s="53"/>
      <c r="E643" s="381" t="s">
        <v>693</v>
      </c>
      <c r="F643" s="382"/>
      <c r="G643" s="99">
        <f>+ROUND(Návrh!H640,-3)/$X$2</f>
        <v>49999</v>
      </c>
      <c r="H643" s="99">
        <f>+ROUND(Návrh!I640,-3)/$X$2</f>
        <v>61519</v>
      </c>
      <c r="I643" s="99">
        <f>+ROUND(Návrh!J640,-3)/$X$2</f>
        <v>73100</v>
      </c>
      <c r="J643" s="99" t="e">
        <f>+ROUND(Návrh!#REF!,-3)/$X$2</f>
        <v>#REF!</v>
      </c>
      <c r="K643" s="99">
        <f>+ROUND(Návrh!K640,-3)/$X$2</f>
        <v>126469</v>
      </c>
      <c r="L643" s="99">
        <f>+ROUND(Návrh!L640,-3)/$X$2</f>
        <v>0</v>
      </c>
      <c r="M643" s="100"/>
    </row>
    <row r="644" spans="1:13" x14ac:dyDescent="0.25">
      <c r="A644" s="42" t="s">
        <v>1480</v>
      </c>
      <c r="B644" s="20" t="s">
        <v>916</v>
      </c>
      <c r="C644" s="20" t="s">
        <v>920</v>
      </c>
      <c r="D644" s="20" t="s">
        <v>1523</v>
      </c>
      <c r="E644" s="373" t="s">
        <v>694</v>
      </c>
      <c r="F644" s="374"/>
      <c r="G644" s="88">
        <f>+ROUND(Návrh!H641,-3)/$X$2</f>
        <v>0</v>
      </c>
      <c r="H644" s="88">
        <f>+ROUND(Návrh!I641,-3)/$X$2</f>
        <v>0</v>
      </c>
      <c r="I644" s="88">
        <f>+ROUND(Návrh!J641,-3)/$X$2</f>
        <v>62927</v>
      </c>
      <c r="J644" s="88" t="e">
        <f>+ROUND(Návrh!#REF!,-3)/$X$2</f>
        <v>#REF!</v>
      </c>
      <c r="K644" s="88">
        <f>+ROUND(Návrh!K641,-3)/$X$2</f>
        <v>107606</v>
      </c>
      <c r="L644" s="88">
        <f>+ROUND(Návrh!L641,-3)/$X$2</f>
        <v>0</v>
      </c>
      <c r="M644" s="100"/>
    </row>
    <row r="645" spans="1:13" x14ac:dyDescent="0.25">
      <c r="A645" s="42" t="s">
        <v>1481</v>
      </c>
      <c r="B645" s="20" t="s">
        <v>916</v>
      </c>
      <c r="C645" s="20" t="s">
        <v>920</v>
      </c>
      <c r="D645" s="20" t="s">
        <v>1523</v>
      </c>
      <c r="E645" s="373" t="s">
        <v>695</v>
      </c>
      <c r="F645" s="374"/>
      <c r="G645" s="88">
        <f>+ROUND(Návrh!H642,-3)/$X$2</f>
        <v>0</v>
      </c>
      <c r="H645" s="88">
        <f>+ROUND(Návrh!I642,-3)/$X$2</f>
        <v>0</v>
      </c>
      <c r="I645" s="88">
        <f>+ROUND(Návrh!J642,-3)/$X$2</f>
        <v>10173</v>
      </c>
      <c r="J645" s="88" t="e">
        <f>+ROUND(Návrh!#REF!,-3)/$X$2</f>
        <v>#REF!</v>
      </c>
      <c r="K645" s="88">
        <f>+ROUND(Návrh!K642,-3)/$X$2</f>
        <v>18864</v>
      </c>
      <c r="L645" s="88">
        <f>+ROUND(Návrh!L642,-3)/$X$2</f>
        <v>0</v>
      </c>
      <c r="M645" s="100"/>
    </row>
    <row r="646" spans="1:13" x14ac:dyDescent="0.25">
      <c r="A646" s="42" t="s">
        <v>1482</v>
      </c>
      <c r="B646" s="20"/>
      <c r="C646" s="20"/>
      <c r="D646" s="20"/>
      <c r="E646" s="373" t="s">
        <v>696</v>
      </c>
      <c r="F646" s="374"/>
      <c r="G646" s="88">
        <f>+ROUND(Návrh!H643,-3)/$X$2</f>
        <v>10717</v>
      </c>
      <c r="H646" s="88">
        <f>+ROUND(Návrh!I643,-3)/$X$2</f>
        <v>19470</v>
      </c>
      <c r="I646" s="88">
        <f>+ROUND(Návrh!J643,-3)/$X$2</f>
        <v>0</v>
      </c>
      <c r="J646" s="88" t="e">
        <f>+ROUND(Návrh!#REF!,-3)/$X$2</f>
        <v>#REF!</v>
      </c>
      <c r="K646" s="88">
        <f>+ROUND(Návrh!K643,-3)/$X$2</f>
        <v>0</v>
      </c>
      <c r="L646" s="88">
        <f>+ROUND(Návrh!L643,-3)/$X$2</f>
        <v>0</v>
      </c>
      <c r="M646" s="100"/>
    </row>
    <row r="647" spans="1:13" x14ac:dyDescent="0.25">
      <c r="A647" s="42" t="s">
        <v>1483</v>
      </c>
      <c r="B647" s="20"/>
      <c r="C647" s="20"/>
      <c r="D647" s="20"/>
      <c r="E647" s="373" t="s">
        <v>688</v>
      </c>
      <c r="F647" s="374"/>
      <c r="G647" s="88">
        <f>+ROUND(Návrh!H644,-3)/$X$2</f>
        <v>23607</v>
      </c>
      <c r="H647" s="88">
        <f>+ROUND(Návrh!I644,-3)/$X$2</f>
        <v>23652</v>
      </c>
      <c r="I647" s="88">
        <f>+ROUND(Návrh!J644,-3)/$X$2</f>
        <v>0</v>
      </c>
      <c r="J647" s="88" t="e">
        <f>+ROUND(Návrh!#REF!,-3)/$X$2</f>
        <v>#REF!</v>
      </c>
      <c r="K647" s="88">
        <f>+ROUND(Návrh!K644,-3)/$X$2</f>
        <v>0</v>
      </c>
      <c r="L647" s="88">
        <f>+ROUND(Návrh!L644,-3)/$X$2</f>
        <v>0</v>
      </c>
      <c r="M647" s="100"/>
    </row>
    <row r="648" spans="1:13" x14ac:dyDescent="0.25">
      <c r="A648" s="42" t="s">
        <v>1484</v>
      </c>
      <c r="B648" s="20"/>
      <c r="C648" s="20"/>
      <c r="D648" s="20"/>
      <c r="E648" s="373" t="s">
        <v>697</v>
      </c>
      <c r="F648" s="374"/>
      <c r="G648" s="88">
        <f>+ROUND(Návrh!H645,-3)/$X$2</f>
        <v>961</v>
      </c>
      <c r="H648" s="88">
        <f>+ROUND(Návrh!I645,-3)/$X$2</f>
        <v>1202</v>
      </c>
      <c r="I648" s="88">
        <f>+ROUND(Návrh!J645,-3)/$X$2</f>
        <v>0</v>
      </c>
      <c r="J648" s="88" t="e">
        <f>+ROUND(Návrh!#REF!,-3)/$X$2</f>
        <v>#REF!</v>
      </c>
      <c r="K648" s="88">
        <f>+ROUND(Návrh!K645,-3)/$X$2</f>
        <v>0</v>
      </c>
      <c r="L648" s="88">
        <f>+ROUND(Návrh!L645,-3)/$X$2</f>
        <v>0</v>
      </c>
      <c r="M648" s="100"/>
    </row>
    <row r="649" spans="1:13" x14ac:dyDescent="0.25">
      <c r="A649" s="42" t="s">
        <v>1485</v>
      </c>
      <c r="B649" s="20"/>
      <c r="C649" s="20"/>
      <c r="D649" s="20"/>
      <c r="E649" s="373" t="s">
        <v>689</v>
      </c>
      <c r="F649" s="374"/>
      <c r="G649" s="88">
        <f>+ROUND(Návrh!H646,-3)/$X$2</f>
        <v>5081</v>
      </c>
      <c r="H649" s="88">
        <f>+ROUND(Návrh!I646,-3)/$X$2</f>
        <v>3640</v>
      </c>
      <c r="I649" s="88">
        <f>+ROUND(Návrh!J646,-3)/$X$2</f>
        <v>0</v>
      </c>
      <c r="J649" s="88" t="e">
        <f>+ROUND(Návrh!#REF!,-3)/$X$2</f>
        <v>#REF!</v>
      </c>
      <c r="K649" s="88">
        <f>+ROUND(Návrh!K646,-3)/$X$2</f>
        <v>0</v>
      </c>
      <c r="L649" s="88">
        <f>+ROUND(Návrh!L646,-3)/$X$2</f>
        <v>0</v>
      </c>
      <c r="M649" s="100"/>
    </row>
    <row r="650" spans="1:13" x14ac:dyDescent="0.25">
      <c r="A650" s="42" t="s">
        <v>1486</v>
      </c>
      <c r="B650" s="20"/>
      <c r="C650" s="20"/>
      <c r="D650" s="20"/>
      <c r="E650" s="373" t="s">
        <v>690</v>
      </c>
      <c r="F650" s="374"/>
      <c r="G650" s="88">
        <f>+ROUND(Návrh!H647,-3)/$X$2</f>
        <v>951</v>
      </c>
      <c r="H650" s="88">
        <f>+ROUND(Návrh!I647,-3)/$X$2</f>
        <v>976</v>
      </c>
      <c r="I650" s="88">
        <f>+ROUND(Návrh!J647,-3)/$X$2</f>
        <v>0</v>
      </c>
      <c r="J650" s="88" t="e">
        <f>+ROUND(Návrh!#REF!,-3)/$X$2</f>
        <v>#REF!</v>
      </c>
      <c r="K650" s="88">
        <f>+ROUND(Návrh!K647,-3)/$X$2</f>
        <v>0</v>
      </c>
      <c r="L650" s="88">
        <f>+ROUND(Návrh!L647,-3)/$X$2</f>
        <v>0</v>
      </c>
      <c r="M650" s="100"/>
    </row>
    <row r="651" spans="1:13" x14ac:dyDescent="0.25">
      <c r="A651" s="42" t="s">
        <v>1487</v>
      </c>
      <c r="B651" s="20"/>
      <c r="C651" s="20"/>
      <c r="D651" s="20"/>
      <c r="E651" s="373" t="s">
        <v>698</v>
      </c>
      <c r="F651" s="374"/>
      <c r="G651" s="88">
        <f>+ROUND(Návrh!H648,-3)/$X$2</f>
        <v>968</v>
      </c>
      <c r="H651" s="88">
        <f>+ROUND(Návrh!I648,-3)/$X$2</f>
        <v>1148</v>
      </c>
      <c r="I651" s="88">
        <f>+ROUND(Návrh!J648,-3)/$X$2</f>
        <v>0</v>
      </c>
      <c r="J651" s="88" t="e">
        <f>+ROUND(Návrh!#REF!,-3)/$X$2</f>
        <v>#REF!</v>
      </c>
      <c r="K651" s="88">
        <f>+ROUND(Návrh!K648,-3)/$X$2</f>
        <v>0</v>
      </c>
      <c r="L651" s="88">
        <f>+ROUND(Návrh!L648,-3)/$X$2</f>
        <v>0</v>
      </c>
      <c r="M651" s="100"/>
    </row>
    <row r="652" spans="1:13" x14ac:dyDescent="0.25">
      <c r="A652" s="42" t="s">
        <v>1488</v>
      </c>
      <c r="B652" s="20"/>
      <c r="C652" s="20"/>
      <c r="D652" s="20"/>
      <c r="E652" s="373" t="s">
        <v>699</v>
      </c>
      <c r="F652" s="374"/>
      <c r="G652" s="88">
        <f>+ROUND(Návrh!H649,-3)/$X$2</f>
        <v>3403</v>
      </c>
      <c r="H652" s="88">
        <f>+ROUND(Návrh!I649,-3)/$X$2</f>
        <v>3596</v>
      </c>
      <c r="I652" s="88">
        <f>+ROUND(Návrh!J649,-3)/$X$2</f>
        <v>0</v>
      </c>
      <c r="J652" s="88" t="e">
        <f>+ROUND(Návrh!#REF!,-3)/$X$2</f>
        <v>#REF!</v>
      </c>
      <c r="K652" s="88">
        <f>+ROUND(Návrh!K649,-3)/$X$2</f>
        <v>0</v>
      </c>
      <c r="L652" s="88">
        <f>+ROUND(Návrh!L649,-3)/$X$2</f>
        <v>0</v>
      </c>
      <c r="M652" s="100"/>
    </row>
    <row r="653" spans="1:13" x14ac:dyDescent="0.25">
      <c r="A653" s="42" t="s">
        <v>1489</v>
      </c>
      <c r="B653" s="20"/>
      <c r="C653" s="20"/>
      <c r="D653" s="20"/>
      <c r="E653" s="373" t="s">
        <v>691</v>
      </c>
      <c r="F653" s="374"/>
      <c r="G653" s="88">
        <f>+ROUND(Návrh!H650,-3)/$X$2</f>
        <v>4309</v>
      </c>
      <c r="H653" s="88">
        <f>+ROUND(Návrh!I650,-3)/$X$2</f>
        <v>7835</v>
      </c>
      <c r="I653" s="88">
        <f>+ROUND(Návrh!J650,-3)/$X$2</f>
        <v>0</v>
      </c>
      <c r="J653" s="88" t="e">
        <f>+ROUND(Návrh!#REF!,-3)/$X$2</f>
        <v>#REF!</v>
      </c>
      <c r="K653" s="88">
        <f>+ROUND(Návrh!K650,-3)/$X$2</f>
        <v>0</v>
      </c>
      <c r="L653" s="88">
        <f>+ROUND(Návrh!L650,-3)/$X$2</f>
        <v>0</v>
      </c>
      <c r="M653" s="100"/>
    </row>
    <row r="654" spans="1:13" x14ac:dyDescent="0.25">
      <c r="A654" s="55" t="s">
        <v>1490</v>
      </c>
      <c r="B654" s="55"/>
      <c r="C654" s="53"/>
      <c r="D654" s="53"/>
      <c r="E654" s="381" t="s">
        <v>700</v>
      </c>
      <c r="F654" s="382"/>
      <c r="G654" s="99">
        <f>+ROUND(Návrh!H651,-3)/$X$2</f>
        <v>4280</v>
      </c>
      <c r="H654" s="99">
        <f>+ROUND(Návrh!I651,-3)/$X$2</f>
        <v>4885</v>
      </c>
      <c r="I654" s="99">
        <f>+ROUND(Návrh!J651,-3)/$X$2</f>
        <v>0</v>
      </c>
      <c r="J654" s="99" t="e">
        <f>+ROUND(Návrh!#REF!,-3)/$X$2</f>
        <v>#REF!</v>
      </c>
      <c r="K654" s="99">
        <f>+ROUND(Návrh!K651,-3)/$X$2</f>
        <v>0</v>
      </c>
      <c r="L654" s="99">
        <f>+ROUND(Návrh!L651,-3)/$X$2</f>
        <v>0</v>
      </c>
      <c r="M654" s="100"/>
    </row>
    <row r="655" spans="1:13" x14ac:dyDescent="0.25">
      <c r="A655" s="42" t="s">
        <v>1491</v>
      </c>
      <c r="B655" s="20"/>
      <c r="C655" s="20"/>
      <c r="D655" s="20"/>
      <c r="E655" s="373" t="s">
        <v>701</v>
      </c>
      <c r="F655" s="374"/>
      <c r="G655" s="88">
        <f>+ROUND(Návrh!H652,-3)/$X$2</f>
        <v>11</v>
      </c>
      <c r="H655" s="88">
        <f>+ROUND(Návrh!I652,-3)/$X$2</f>
        <v>5</v>
      </c>
      <c r="I655" s="88">
        <f>+ROUND(Návrh!J652,-3)/$X$2</f>
        <v>0</v>
      </c>
      <c r="J655" s="88" t="e">
        <f>+ROUND(Návrh!#REF!,-3)/$X$2</f>
        <v>#REF!</v>
      </c>
      <c r="K655" s="88">
        <f>+ROUND(Návrh!K652,-3)/$X$2</f>
        <v>0</v>
      </c>
      <c r="L655" s="88">
        <f>+ROUND(Návrh!L652,-3)/$X$2</f>
        <v>0</v>
      </c>
      <c r="M655" s="100"/>
    </row>
    <row r="656" spans="1:13" x14ac:dyDescent="0.25">
      <c r="A656" s="42" t="s">
        <v>1492</v>
      </c>
      <c r="B656" s="20" t="s">
        <v>916</v>
      </c>
      <c r="C656" s="20" t="s">
        <v>920</v>
      </c>
      <c r="D656" s="20" t="s">
        <v>1523</v>
      </c>
      <c r="E656" s="373" t="s">
        <v>702</v>
      </c>
      <c r="F656" s="374"/>
      <c r="G656" s="88">
        <f>+ROUND(Návrh!H653,-3)/$X$2</f>
        <v>4269</v>
      </c>
      <c r="H656" s="88">
        <f>+ROUND(Návrh!I653,-3)/$X$2</f>
        <v>4881</v>
      </c>
      <c r="I656" s="88">
        <f>+ROUND(Návrh!J653,-3)/$X$2</f>
        <v>0</v>
      </c>
      <c r="J656" s="88" t="e">
        <f>+ROUND(Návrh!#REF!,-3)/$X$2</f>
        <v>#REF!</v>
      </c>
      <c r="K656" s="88">
        <f>+ROUND(Návrh!K653,-3)/$X$2</f>
        <v>0</v>
      </c>
      <c r="L656" s="88">
        <f>+ROUND(Návrh!L653,-3)/$X$2</f>
        <v>0</v>
      </c>
      <c r="M656" s="100"/>
    </row>
    <row r="657" spans="1:13" x14ac:dyDescent="0.25">
      <c r="A657" s="55" t="s">
        <v>1493</v>
      </c>
      <c r="B657" s="55"/>
      <c r="C657" s="53"/>
      <c r="D657" s="53"/>
      <c r="E657" s="381" t="s">
        <v>703</v>
      </c>
      <c r="F657" s="382"/>
      <c r="G657" s="99">
        <f>+ROUND(Návrh!H654,-3)/$X$2</f>
        <v>36790</v>
      </c>
      <c r="H657" s="99">
        <f>+ROUND(Návrh!I654,-3)/$X$2</f>
        <v>-104900</v>
      </c>
      <c r="I657" s="99">
        <f>+ROUND(Návrh!J654,-3)/$X$2</f>
        <v>0</v>
      </c>
      <c r="J657" s="99" t="e">
        <f>+ROUND(Návrh!#REF!,-3)/$X$2</f>
        <v>#REF!</v>
      </c>
      <c r="K657" s="99">
        <f>+ROUND(Návrh!K654,-3)/$X$2</f>
        <v>-16900</v>
      </c>
      <c r="L657" s="99">
        <f>+ROUND(Návrh!L654,-3)/$X$2</f>
        <v>0</v>
      </c>
      <c r="M657" s="100"/>
    </row>
    <row r="658" spans="1:13" x14ac:dyDescent="0.25">
      <c r="A658" s="42" t="s">
        <v>1494</v>
      </c>
      <c r="B658" s="20" t="s">
        <v>916</v>
      </c>
      <c r="C658" s="20" t="s">
        <v>920</v>
      </c>
      <c r="D658" s="20" t="s">
        <v>1523</v>
      </c>
      <c r="E658" s="373" t="s">
        <v>704</v>
      </c>
      <c r="F658" s="374"/>
      <c r="G658" s="88">
        <f>+ROUND(Návrh!H655,-3)/$X$2</f>
        <v>-43210</v>
      </c>
      <c r="H658" s="88">
        <f>+ROUND(Návrh!I655,-3)/$X$2</f>
        <v>-70100</v>
      </c>
      <c r="I658" s="88">
        <f>+ROUND(Návrh!J655,-3)/$X$2</f>
        <v>0</v>
      </c>
      <c r="J658" s="88" t="e">
        <f>+ROUND(Návrh!#REF!,-3)/$X$2</f>
        <v>#REF!</v>
      </c>
      <c r="K658" s="88">
        <f>+ROUND(Návrh!K655,-3)/$X$2</f>
        <v>24900</v>
      </c>
      <c r="L658" s="88">
        <f>+ROUND(Návrh!L655,-3)/$X$2</f>
        <v>0</v>
      </c>
      <c r="M658" s="100"/>
    </row>
    <row r="659" spans="1:13" x14ac:dyDescent="0.25">
      <c r="A659" s="83" t="s">
        <v>1644</v>
      </c>
      <c r="B659" s="21" t="s">
        <v>916</v>
      </c>
      <c r="C659" s="21" t="s">
        <v>920</v>
      </c>
      <c r="D659" s="21" t="s">
        <v>1523</v>
      </c>
      <c r="E659" s="387" t="s">
        <v>1647</v>
      </c>
      <c r="F659" s="388"/>
      <c r="G659" s="95">
        <f>+ROUND(Návrh!H656,-3)/$X$2</f>
        <v>0</v>
      </c>
      <c r="H659" s="95">
        <f>+ROUND(Návrh!I656,-3)/$X$2</f>
        <v>0</v>
      </c>
      <c r="I659" s="95">
        <f>+ROUND(Návrh!J656,-3)/$X$2</f>
        <v>0</v>
      </c>
      <c r="J659" s="95" t="e">
        <f>+ROUND(Návrh!#REF!,-3)/$X$2</f>
        <v>#REF!</v>
      </c>
      <c r="K659" s="95">
        <f>+ROUND(Návrh!K656,-3)/$X$2</f>
        <v>0</v>
      </c>
      <c r="L659" s="95">
        <f>+ROUND(Návrh!L656,-3)/$X$2</f>
        <v>0</v>
      </c>
      <c r="M659" s="100"/>
    </row>
    <row r="660" spans="1:13" x14ac:dyDescent="0.25">
      <c r="A660" s="83" t="s">
        <v>1645</v>
      </c>
      <c r="B660" s="21" t="s">
        <v>916</v>
      </c>
      <c r="C660" s="21" t="s">
        <v>920</v>
      </c>
      <c r="D660" s="21" t="s">
        <v>1523</v>
      </c>
      <c r="E660" s="387" t="s">
        <v>1646</v>
      </c>
      <c r="F660" s="388"/>
      <c r="G660" s="95">
        <f>+ROUND(Návrh!H657,-3)/$X$2</f>
        <v>0</v>
      </c>
      <c r="H660" s="95">
        <f>+ROUND(Návrh!I657,-3)/$X$2</f>
        <v>0</v>
      </c>
      <c r="I660" s="95">
        <f>+ROUND(Návrh!J657,-3)/$X$2</f>
        <v>0</v>
      </c>
      <c r="J660" s="95" t="e">
        <f>+ROUND(Návrh!#REF!,-3)/$X$2</f>
        <v>#REF!</v>
      </c>
      <c r="K660" s="95">
        <f>+ROUND(Návrh!K657,-3)/$X$2</f>
        <v>0</v>
      </c>
      <c r="L660" s="95">
        <f>+ROUND(Návrh!L657,-3)/$X$2</f>
        <v>0</v>
      </c>
      <c r="M660" s="100"/>
    </row>
    <row r="661" spans="1:13" x14ac:dyDescent="0.25">
      <c r="A661" s="42" t="s">
        <v>1495</v>
      </c>
      <c r="B661" s="20" t="s">
        <v>916</v>
      </c>
      <c r="C661" s="20" t="s">
        <v>920</v>
      </c>
      <c r="D661" s="20" t="s">
        <v>1523</v>
      </c>
      <c r="E661" s="373" t="s">
        <v>705</v>
      </c>
      <c r="F661" s="374"/>
      <c r="G661" s="88">
        <f>+ROUND(Návrh!H658,-3)/$X$2</f>
        <v>80000</v>
      </c>
      <c r="H661" s="88">
        <f>+ROUND(Návrh!I658,-3)/$X$2</f>
        <v>-34800</v>
      </c>
      <c r="I661" s="88">
        <f>+ROUND(Návrh!J658,-3)/$X$2</f>
        <v>0</v>
      </c>
      <c r="J661" s="88" t="e">
        <f>+ROUND(Návrh!#REF!,-3)/$X$2</f>
        <v>#REF!</v>
      </c>
      <c r="K661" s="88">
        <f>+ROUND(Návrh!K658,-3)/$X$2</f>
        <v>-41800</v>
      </c>
      <c r="L661" s="88">
        <f>+ROUND(Návrh!L658,-3)/$X$2</f>
        <v>0</v>
      </c>
      <c r="M661" s="100"/>
    </row>
    <row r="662" spans="1:13" x14ac:dyDescent="0.25">
      <c r="A662" s="55" t="s">
        <v>1496</v>
      </c>
      <c r="B662" s="55"/>
      <c r="C662" s="53"/>
      <c r="D662" s="53"/>
      <c r="E662" s="381" t="s">
        <v>706</v>
      </c>
      <c r="F662" s="382"/>
      <c r="G662" s="99">
        <f>+ROUND(Návrh!H659,-3)/$X$2</f>
        <v>-174</v>
      </c>
      <c r="H662" s="99">
        <f>+ROUND(Návrh!I659,-3)/$X$2</f>
        <v>-241</v>
      </c>
      <c r="I662" s="99">
        <f>+ROUND(Návrh!J659,-3)/$X$2</f>
        <v>0</v>
      </c>
      <c r="J662" s="99" t="e">
        <f>+ROUND(Návrh!#REF!,-3)/$X$2</f>
        <v>#REF!</v>
      </c>
      <c r="K662" s="99">
        <f>+ROUND(Návrh!K659,-3)/$X$2</f>
        <v>-177</v>
      </c>
      <c r="L662" s="99">
        <f>+ROUND(Návrh!L659,-3)/$X$2</f>
        <v>0</v>
      </c>
      <c r="M662" s="100"/>
    </row>
    <row r="663" spans="1:13" x14ac:dyDescent="0.25">
      <c r="A663" s="42" t="s">
        <v>1497</v>
      </c>
      <c r="B663" s="20" t="s">
        <v>916</v>
      </c>
      <c r="C663" s="20" t="s">
        <v>920</v>
      </c>
      <c r="D663" s="20" t="s">
        <v>1523</v>
      </c>
      <c r="E663" s="373" t="s">
        <v>707</v>
      </c>
      <c r="F663" s="374"/>
      <c r="G663" s="88">
        <f>+ROUND(Návrh!H660,-3)/$X$2</f>
        <v>-6</v>
      </c>
      <c r="H663" s="88">
        <f>+ROUND(Návrh!I660,-3)/$X$2</f>
        <v>-6</v>
      </c>
      <c r="I663" s="88">
        <f>+ROUND(Návrh!J660,-3)/$X$2</f>
        <v>0</v>
      </c>
      <c r="J663" s="88" t="e">
        <f>+ROUND(Návrh!#REF!,-3)/$X$2</f>
        <v>#REF!</v>
      </c>
      <c r="K663" s="88">
        <f>+ROUND(Návrh!K660,-3)/$X$2</f>
        <v>-177</v>
      </c>
      <c r="L663" s="88">
        <f>+ROUND(Návrh!L660,-3)/$X$2</f>
        <v>0</v>
      </c>
      <c r="M663" s="100"/>
    </row>
    <row r="664" spans="1:13" x14ac:dyDescent="0.25">
      <c r="A664" s="42" t="s">
        <v>1498</v>
      </c>
      <c r="B664" s="14"/>
      <c r="C664" s="13"/>
      <c r="D664" s="13"/>
      <c r="E664" s="373" t="s">
        <v>708</v>
      </c>
      <c r="F664" s="374"/>
      <c r="G664" s="88">
        <f>+ROUND(Návrh!H661,-3)/$X$2</f>
        <v>-168</v>
      </c>
      <c r="H664" s="88">
        <f>+ROUND(Návrh!I661,-3)/$X$2</f>
        <v>-235</v>
      </c>
      <c r="I664" s="88">
        <f>+ROUND(Návrh!J661,-3)/$X$2</f>
        <v>0</v>
      </c>
      <c r="J664" s="88" t="e">
        <f>+ROUND(Návrh!#REF!,-3)/$X$2</f>
        <v>#REF!</v>
      </c>
      <c r="K664" s="88">
        <f>+ROUND(Návrh!K661,-3)/$X$2</f>
        <v>0</v>
      </c>
      <c r="L664" s="88">
        <f>+ROUND(Návrh!L661,-3)/$X$2</f>
        <v>0</v>
      </c>
      <c r="M664" s="100"/>
    </row>
    <row r="665" spans="1:13" x14ac:dyDescent="0.25">
      <c r="A665" s="55" t="s">
        <v>1499</v>
      </c>
      <c r="B665" s="55"/>
      <c r="C665" s="53"/>
      <c r="D665" s="53"/>
      <c r="E665" s="381" t="s">
        <v>709</v>
      </c>
      <c r="F665" s="382"/>
      <c r="G665" s="99">
        <f>+ROUND(Návrh!H662,-3)/$X$2</f>
        <v>1304</v>
      </c>
      <c r="H665" s="99">
        <f>+ROUND(Návrh!I662,-3)/$X$2</f>
        <v>964</v>
      </c>
      <c r="I665" s="99">
        <f>+ROUND(Návrh!J662,-3)/$X$2</f>
        <v>1000</v>
      </c>
      <c r="J665" s="99" t="e">
        <f>+ROUND(Návrh!#REF!,-3)/$X$2</f>
        <v>#REF!</v>
      </c>
      <c r="K665" s="99">
        <f>+ROUND(Návrh!K662,-3)/$X$2</f>
        <v>1043</v>
      </c>
      <c r="L665" s="99">
        <f>+ROUND(Návrh!L662,-3)/$X$2</f>
        <v>0</v>
      </c>
      <c r="M665" s="100"/>
    </row>
    <row r="666" spans="1:13" x14ac:dyDescent="0.25">
      <c r="A666" s="42" t="s">
        <v>1500</v>
      </c>
      <c r="B666" s="20" t="s">
        <v>916</v>
      </c>
      <c r="C666" s="20" t="s">
        <v>920</v>
      </c>
      <c r="D666" s="20" t="s">
        <v>1523</v>
      </c>
      <c r="E666" s="373" t="s">
        <v>710</v>
      </c>
      <c r="F666" s="374"/>
      <c r="G666" s="88">
        <f>+ROUND(Návrh!H663,-3)/$X$2</f>
        <v>1304</v>
      </c>
      <c r="H666" s="88">
        <f>+ROUND(Návrh!I663,-3)/$X$2</f>
        <v>964</v>
      </c>
      <c r="I666" s="88">
        <f>+ROUND(Návrh!J663,-3)/$X$2</f>
        <v>1000</v>
      </c>
      <c r="J666" s="88" t="e">
        <f>+ROUND(Návrh!#REF!,-3)/$X$2</f>
        <v>#REF!</v>
      </c>
      <c r="K666" s="88">
        <f>+ROUND(Návrh!K663,-3)/$X$2</f>
        <v>1043</v>
      </c>
      <c r="L666" s="88">
        <f>+ROUND(Návrh!L663,-3)/$X$2</f>
        <v>0</v>
      </c>
      <c r="M666" s="100"/>
    </row>
    <row r="667" spans="1:13" x14ac:dyDescent="0.25">
      <c r="A667" s="55" t="s">
        <v>1501</v>
      </c>
      <c r="B667" s="55"/>
      <c r="C667" s="53"/>
      <c r="D667" s="53"/>
      <c r="E667" s="381" t="s">
        <v>711</v>
      </c>
      <c r="F667" s="382"/>
      <c r="G667" s="99">
        <f>+ROUND(Návrh!H664,-3)/$X$2</f>
        <v>5038053</v>
      </c>
      <c r="H667" s="99">
        <f>+ROUND(Návrh!I664,-3)/$X$2</f>
        <v>5566810</v>
      </c>
      <c r="I667" s="99">
        <f>+ROUND(Návrh!J664,-3)/$X$2</f>
        <v>6012900</v>
      </c>
      <c r="J667" s="99" t="e">
        <f>+ROUND(Návrh!#REF!,-3)/$X$2</f>
        <v>#REF!</v>
      </c>
      <c r="K667" s="99">
        <f>+ROUND(Návrh!K664,-3)/$X$2</f>
        <v>6064947</v>
      </c>
      <c r="L667" s="99">
        <f>+ROUND(Návrh!L664,-3)/$X$2</f>
        <v>6766800</v>
      </c>
      <c r="M667" s="100"/>
    </row>
    <row r="668" spans="1:13" x14ac:dyDescent="0.25">
      <c r="A668" s="42" t="s">
        <v>1502</v>
      </c>
      <c r="B668" s="20" t="s">
        <v>916</v>
      </c>
      <c r="C668" s="20" t="s">
        <v>920</v>
      </c>
      <c r="D668" s="20" t="s">
        <v>1523</v>
      </c>
      <c r="E668" s="373" t="s">
        <v>712</v>
      </c>
      <c r="F668" s="374"/>
      <c r="G668" s="88">
        <f>+ROUND(Návrh!H665,-3)/$X$2</f>
        <v>2254461</v>
      </c>
      <c r="H668" s="88">
        <f>+ROUND(Návrh!I665,-3)/$X$2</f>
        <v>2452611</v>
      </c>
      <c r="I668" s="88">
        <f>+ROUND(Návrh!J665,-3)/$X$2</f>
        <v>4906219</v>
      </c>
      <c r="J668" s="88" t="e">
        <f>+ROUND(Návrh!#REF!,-3)/$X$2</f>
        <v>#REF!</v>
      </c>
      <c r="K668" s="88">
        <f>+ROUND(Návrh!K665,-3)/$X$2</f>
        <v>4855203</v>
      </c>
      <c r="L668" s="88">
        <f>+ROUND(Návrh!L665,-3)/$X$2</f>
        <v>5416800</v>
      </c>
      <c r="M668" s="100"/>
    </row>
    <row r="669" spans="1:13" x14ac:dyDescent="0.25">
      <c r="A669" s="42" t="s">
        <v>1503</v>
      </c>
      <c r="B669" s="20" t="s">
        <v>916</v>
      </c>
      <c r="C669" s="20" t="s">
        <v>920</v>
      </c>
      <c r="D669" s="20" t="s">
        <v>1523</v>
      </c>
      <c r="E669" s="373" t="s">
        <v>713</v>
      </c>
      <c r="F669" s="374"/>
      <c r="G669" s="88">
        <f>+ROUND(Návrh!H666,-3)/$X$2</f>
        <v>488751</v>
      </c>
      <c r="H669" s="88">
        <f>+ROUND(Návrh!I666,-3)/$X$2</f>
        <v>556677</v>
      </c>
      <c r="I669" s="88">
        <f>+ROUND(Návrh!J666,-3)/$X$2</f>
        <v>1106681</v>
      </c>
      <c r="J669" s="88" t="e">
        <f>+ROUND(Návrh!#REF!,-3)/$X$2</f>
        <v>#REF!</v>
      </c>
      <c r="K669" s="88">
        <f>+ROUND(Návrh!K666,-3)/$X$2</f>
        <v>1209745</v>
      </c>
      <c r="L669" s="88">
        <f>+ROUND(Návrh!L666,-3)/$X$2</f>
        <v>1350000</v>
      </c>
      <c r="M669" s="100"/>
    </row>
    <row r="670" spans="1:13" x14ac:dyDescent="0.25">
      <c r="A670" s="42" t="s">
        <v>1504</v>
      </c>
      <c r="B670" s="20"/>
      <c r="C670" s="20"/>
      <c r="D670" s="20"/>
      <c r="E670" s="373" t="s">
        <v>714</v>
      </c>
      <c r="F670" s="374"/>
      <c r="G670" s="88">
        <f>+ROUND(Návrh!H667,-3)/$X$2</f>
        <v>1923309</v>
      </c>
      <c r="H670" s="88">
        <f>+ROUND(Návrh!I667,-3)/$X$2</f>
        <v>2130170</v>
      </c>
      <c r="I670" s="88">
        <f>+ROUND(Návrh!J667,-3)/$X$2</f>
        <v>0</v>
      </c>
      <c r="J670" s="88" t="e">
        <f>+ROUND(Návrh!#REF!,-3)/$X$2</f>
        <v>#REF!</v>
      </c>
      <c r="K670" s="88">
        <f>+ROUND(Návrh!K667,-3)/$X$2</f>
        <v>0</v>
      </c>
      <c r="L670" s="88">
        <f>+ROUND(Návrh!L667,-3)/$X$2</f>
        <v>0</v>
      </c>
      <c r="M670" s="100"/>
    </row>
    <row r="671" spans="1:13" x14ac:dyDescent="0.25">
      <c r="A671" s="42" t="s">
        <v>1505</v>
      </c>
      <c r="B671" s="14"/>
      <c r="C671" s="13"/>
      <c r="D671" s="13"/>
      <c r="E671" s="373" t="s">
        <v>715</v>
      </c>
      <c r="F671" s="374"/>
      <c r="G671" s="88">
        <f>+ROUND(Návrh!H668,-3)/$X$2</f>
        <v>4295</v>
      </c>
      <c r="H671" s="88">
        <f>+ROUND(Návrh!I668,-3)/$X$2</f>
        <v>5017</v>
      </c>
      <c r="I671" s="88">
        <f>+ROUND(Návrh!J668,-3)/$X$2</f>
        <v>0</v>
      </c>
      <c r="J671" s="88" t="e">
        <f>+ROUND(Návrh!#REF!,-3)/$X$2</f>
        <v>#REF!</v>
      </c>
      <c r="K671" s="88">
        <f>+ROUND(Návrh!K668,-3)/$X$2</f>
        <v>0</v>
      </c>
      <c r="L671" s="88">
        <f>+ROUND(Návrh!L668,-3)/$X$2</f>
        <v>0</v>
      </c>
      <c r="M671" s="100"/>
    </row>
    <row r="672" spans="1:13" x14ac:dyDescent="0.25">
      <c r="A672" s="42" t="s">
        <v>1506</v>
      </c>
      <c r="B672" s="20"/>
      <c r="C672" s="20"/>
      <c r="D672" s="20"/>
      <c r="E672" s="373" t="s">
        <v>716</v>
      </c>
      <c r="F672" s="374"/>
      <c r="G672" s="88">
        <f>+ROUND(Návrh!H669,-3)/$X$2</f>
        <v>367236</v>
      </c>
      <c r="H672" s="88">
        <f>+ROUND(Návrh!I669,-3)/$X$2</f>
        <v>422336</v>
      </c>
      <c r="I672" s="88">
        <f>+ROUND(Návrh!J669,-3)/$X$2</f>
        <v>0</v>
      </c>
      <c r="J672" s="88" t="e">
        <f>+ROUND(Návrh!#REF!,-3)/$X$2</f>
        <v>#REF!</v>
      </c>
      <c r="K672" s="88">
        <f>+ROUND(Návrh!K669,-3)/$X$2</f>
        <v>0</v>
      </c>
      <c r="L672" s="88">
        <f>+ROUND(Návrh!L669,-3)/$X$2</f>
        <v>0</v>
      </c>
      <c r="M672" s="100"/>
    </row>
    <row r="673" spans="1:13" x14ac:dyDescent="0.25">
      <c r="A673" s="55" t="s">
        <v>1507</v>
      </c>
      <c r="B673" s="55"/>
      <c r="C673" s="53"/>
      <c r="D673" s="53"/>
      <c r="E673" s="381" t="s">
        <v>717</v>
      </c>
      <c r="F673" s="382"/>
      <c r="G673" s="99">
        <f>+ROUND(Návrh!H670,-3)/$X$2</f>
        <v>88150</v>
      </c>
      <c r="H673" s="99">
        <f>+ROUND(Návrh!I670,-3)/$X$2</f>
        <v>208340</v>
      </c>
      <c r="I673" s="99">
        <f>+ROUND(Návrh!J670,-3)/$X$2</f>
        <v>0</v>
      </c>
      <c r="J673" s="99" t="e">
        <f>+ROUND(Návrh!#REF!,-3)/$X$2</f>
        <v>#REF!</v>
      </c>
      <c r="K673" s="99">
        <f>+ROUND(Návrh!K670,-3)/$X$2</f>
        <v>209867</v>
      </c>
      <c r="L673" s="99">
        <f>+ROUND(Návrh!L670,-3)/$X$2</f>
        <v>0</v>
      </c>
      <c r="M673" s="100"/>
    </row>
    <row r="674" spans="1:13" x14ac:dyDescent="0.25">
      <c r="A674" s="42" t="s">
        <v>1508</v>
      </c>
      <c r="B674" s="20" t="s">
        <v>916</v>
      </c>
      <c r="C674" s="20" t="s">
        <v>920</v>
      </c>
      <c r="D674" s="20" t="s">
        <v>1523</v>
      </c>
      <c r="E674" s="373" t="s">
        <v>718</v>
      </c>
      <c r="F674" s="374"/>
      <c r="G674" s="88">
        <f>+ROUND(Návrh!H671,-3)/$X$2</f>
        <v>22472</v>
      </c>
      <c r="H674" s="88">
        <f>+ROUND(Návrh!I671,-3)/$X$2</f>
        <v>136362</v>
      </c>
      <c r="I674" s="88">
        <f>+ROUND(Návrh!J671,-3)/$X$2</f>
        <v>0</v>
      </c>
      <c r="J674" s="88" t="e">
        <f>+ROUND(Návrh!#REF!,-3)/$X$2</f>
        <v>#REF!</v>
      </c>
      <c r="K674" s="88">
        <f>+ROUND(Návrh!K671,-3)/$X$2</f>
        <v>209867</v>
      </c>
      <c r="L674" s="88">
        <f>+ROUND(Návrh!L671,-3)/$X$2</f>
        <v>0</v>
      </c>
      <c r="M674" s="100"/>
    </row>
    <row r="675" spans="1:13" x14ac:dyDescent="0.25">
      <c r="A675" s="42" t="s">
        <v>1509</v>
      </c>
      <c r="B675" s="14"/>
      <c r="C675" s="13"/>
      <c r="D675" s="13"/>
      <c r="E675" s="373" t="s">
        <v>719</v>
      </c>
      <c r="F675" s="374"/>
      <c r="G675" s="88">
        <f>+ROUND(Návrh!H672,-3)/$X$2</f>
        <v>65679</v>
      </c>
      <c r="H675" s="88">
        <f>+ROUND(Návrh!I672,-3)/$X$2</f>
        <v>71978</v>
      </c>
      <c r="I675" s="88">
        <f>+ROUND(Návrh!J672,-3)/$X$2</f>
        <v>0</v>
      </c>
      <c r="J675" s="88" t="e">
        <f>+ROUND(Návrh!#REF!,-3)/$X$2</f>
        <v>#REF!</v>
      </c>
      <c r="K675" s="88">
        <f>+ROUND(Návrh!K672,-3)/$X$2</f>
        <v>0</v>
      </c>
      <c r="L675" s="88">
        <f>+ROUND(Návrh!L672,-3)/$X$2</f>
        <v>0</v>
      </c>
      <c r="M675" s="100"/>
    </row>
    <row r="676" spans="1:13" x14ac:dyDescent="0.25">
      <c r="A676" s="51" t="s">
        <v>720</v>
      </c>
      <c r="B676" s="51"/>
      <c r="C676" s="49"/>
      <c r="D676" s="49"/>
      <c r="E676" s="395" t="s">
        <v>721</v>
      </c>
      <c r="F676" s="396"/>
      <c r="G676" s="98">
        <f>+ROUND(Návrh!H673,-3)/$X$2</f>
        <v>377758</v>
      </c>
      <c r="H676" s="98">
        <f>+ROUND(Návrh!I673,-3)/$X$2</f>
        <v>412942</v>
      </c>
      <c r="I676" s="98">
        <f>+ROUND(Návrh!J673,-3)/$X$2</f>
        <v>430369</v>
      </c>
      <c r="J676" s="98" t="e">
        <f>+ROUND(Návrh!#REF!,-3)/$X$2</f>
        <v>#REF!</v>
      </c>
      <c r="K676" s="98">
        <f>+ROUND(Návrh!K673,-3)/$X$2</f>
        <v>436491</v>
      </c>
      <c r="L676" s="98">
        <f>+ROUND(Návrh!L673,-3)/$X$2</f>
        <v>454304</v>
      </c>
      <c r="M676" s="100"/>
    </row>
    <row r="677" spans="1:13" x14ac:dyDescent="0.25">
      <c r="A677" s="55" t="s">
        <v>1510</v>
      </c>
      <c r="B677" s="55"/>
      <c r="C677" s="53"/>
      <c r="D677" s="53"/>
      <c r="E677" s="381" t="s">
        <v>722</v>
      </c>
      <c r="F677" s="382"/>
      <c r="G677" s="99">
        <f>+ROUND(Návrh!H674,-3)/$X$2</f>
        <v>2565</v>
      </c>
      <c r="H677" s="99">
        <f>+ROUND(Návrh!I674,-3)/$X$2</f>
        <v>4228</v>
      </c>
      <c r="I677" s="99">
        <f>+ROUND(Návrh!J674,-3)/$X$2</f>
        <v>4469</v>
      </c>
      <c r="J677" s="99" t="e">
        <f>+ROUND(Návrh!#REF!,-3)/$X$2</f>
        <v>#REF!</v>
      </c>
      <c r="K677" s="99">
        <f>+ROUND(Návrh!K674,-3)/$X$2</f>
        <v>4643</v>
      </c>
      <c r="L677" s="99">
        <f>+ROUND(Návrh!L674,-3)/$X$2</f>
        <v>4547</v>
      </c>
      <c r="M677" s="100"/>
    </row>
    <row r="678" spans="1:13" x14ac:dyDescent="0.25">
      <c r="A678" s="42" t="s">
        <v>1511</v>
      </c>
      <c r="B678" s="27" t="s">
        <v>916</v>
      </c>
      <c r="C678" s="28" t="s">
        <v>923</v>
      </c>
      <c r="D678" s="28" t="s">
        <v>917</v>
      </c>
      <c r="E678" s="373" t="s">
        <v>723</v>
      </c>
      <c r="F678" s="374"/>
      <c r="G678" s="88">
        <f>+ROUND(Návrh!H675,-3)/$X$2</f>
        <v>2376</v>
      </c>
      <c r="H678" s="88">
        <f>+ROUND(Návrh!I675,-3)/$X$2</f>
        <v>4000</v>
      </c>
      <c r="I678" s="88">
        <f>+ROUND(Návrh!J675,-3)/$X$2</f>
        <v>4154</v>
      </c>
      <c r="J678" s="88" t="e">
        <f>+ROUND(Návrh!#REF!,-3)/$X$2</f>
        <v>#REF!</v>
      </c>
      <c r="K678" s="88">
        <f>+ROUND(Návrh!K675,-3)/$X$2</f>
        <v>4424</v>
      </c>
      <c r="L678" s="88">
        <f>+ROUND(Návrh!L675,-3)/$X$2</f>
        <v>4307</v>
      </c>
      <c r="M678" s="67"/>
    </row>
    <row r="679" spans="1:13" x14ac:dyDescent="0.25">
      <c r="A679" s="42" t="s">
        <v>1512</v>
      </c>
      <c r="B679" s="27" t="s">
        <v>916</v>
      </c>
      <c r="C679" s="28" t="s">
        <v>919</v>
      </c>
      <c r="D679" s="28" t="s">
        <v>917</v>
      </c>
      <c r="E679" s="373" t="s">
        <v>184</v>
      </c>
      <c r="F679" s="374"/>
      <c r="G679" s="88">
        <f>+ROUND(Návrh!H676,-3)/$X$2</f>
        <v>189</v>
      </c>
      <c r="H679" s="88">
        <f>+ROUND(Návrh!I676,-3)/$X$2</f>
        <v>228</v>
      </c>
      <c r="I679" s="88">
        <f>+ROUND(Návrh!J676,-3)/$X$2</f>
        <v>315</v>
      </c>
      <c r="J679" s="88" t="e">
        <f>+ROUND(Návrh!#REF!,-3)/$X$2</f>
        <v>#REF!</v>
      </c>
      <c r="K679" s="88">
        <f>+ROUND(Návrh!K676,-3)/$X$2</f>
        <v>219</v>
      </c>
      <c r="L679" s="88">
        <f>+ROUND(Návrh!L676,-3)/$X$2</f>
        <v>240</v>
      </c>
      <c r="M679" s="67"/>
    </row>
    <row r="680" spans="1:13" x14ac:dyDescent="0.25">
      <c r="A680" s="55" t="s">
        <v>1513</v>
      </c>
      <c r="B680" s="55"/>
      <c r="C680" s="53"/>
      <c r="D680" s="53"/>
      <c r="E680" s="381" t="s">
        <v>724</v>
      </c>
      <c r="F680" s="382"/>
      <c r="G680" s="99">
        <f>+ROUND(Návrh!H677,-3)/$X$2</f>
        <v>375192</v>
      </c>
      <c r="H680" s="99">
        <f>+ROUND(Návrh!I677,-3)/$X$2</f>
        <v>408714</v>
      </c>
      <c r="I680" s="99">
        <f>+ROUND(Návrh!J677,-3)/$X$2</f>
        <v>425900</v>
      </c>
      <c r="J680" s="99" t="e">
        <f>+ROUND(Návrh!#REF!,-3)/$X$2</f>
        <v>#REF!</v>
      </c>
      <c r="K680" s="99">
        <f>+ROUND(Návrh!K677,-3)/$X$2</f>
        <v>431848</v>
      </c>
      <c r="L680" s="99">
        <f>+ROUND(Návrh!L677,-3)/$X$2</f>
        <v>449757</v>
      </c>
      <c r="M680" s="67"/>
    </row>
    <row r="681" spans="1:13" x14ac:dyDescent="0.25">
      <c r="A681" s="42" t="s">
        <v>1514</v>
      </c>
      <c r="B681" s="20" t="s">
        <v>922</v>
      </c>
      <c r="C681" s="20" t="s">
        <v>923</v>
      </c>
      <c r="D681" s="20" t="s">
        <v>1114</v>
      </c>
      <c r="E681" s="373" t="s">
        <v>725</v>
      </c>
      <c r="F681" s="374"/>
      <c r="G681" s="88">
        <f>+ROUND(Návrh!H678,-3)/$X$2</f>
        <v>28803</v>
      </c>
      <c r="H681" s="88">
        <f>+ROUND(Návrh!I678,-3)/$X$2</f>
        <v>33321</v>
      </c>
      <c r="I681" s="88">
        <f>+ROUND(Návrh!J678,-3)/$X$2</f>
        <v>34300</v>
      </c>
      <c r="J681" s="88" t="e">
        <f>+ROUND(Návrh!#REF!,-3)/$X$2</f>
        <v>#REF!</v>
      </c>
      <c r="K681" s="88">
        <f>+ROUND(Návrh!K678,-3)/$X$2</f>
        <v>37244</v>
      </c>
      <c r="L681" s="88">
        <f>+ROUND(Návrh!L678,-3)/$X$2</f>
        <v>38920</v>
      </c>
      <c r="M681" s="67"/>
    </row>
    <row r="682" spans="1:13" x14ac:dyDescent="0.25">
      <c r="A682" s="42" t="s">
        <v>1515</v>
      </c>
      <c r="B682" s="20" t="s">
        <v>922</v>
      </c>
      <c r="C682" s="20" t="s">
        <v>923</v>
      </c>
      <c r="D682" s="20" t="s">
        <v>1114</v>
      </c>
      <c r="E682" s="373" t="s">
        <v>726</v>
      </c>
      <c r="F682" s="374"/>
      <c r="G682" s="88">
        <f>+ROUND(Návrh!H679,-3)/$X$2</f>
        <v>1079</v>
      </c>
      <c r="H682" s="88">
        <f>+ROUND(Návrh!I679,-3)/$X$2</f>
        <v>1395</v>
      </c>
      <c r="I682" s="88">
        <f>+ROUND(Návrh!J679,-3)/$X$2</f>
        <v>1400</v>
      </c>
      <c r="J682" s="88" t="e">
        <f>+ROUND(Návrh!#REF!,-3)/$X$2</f>
        <v>#REF!</v>
      </c>
      <c r="K682" s="88">
        <f>+ROUND(Návrh!K679,-3)/$X$2</f>
        <v>1869</v>
      </c>
      <c r="L682" s="88">
        <f>+ROUND(Návrh!L679,-3)/$X$2</f>
        <v>1953</v>
      </c>
      <c r="M682" s="67"/>
    </row>
    <row r="683" spans="1:13" x14ac:dyDescent="0.25">
      <c r="A683" s="42" t="s">
        <v>1516</v>
      </c>
      <c r="B683" s="20" t="s">
        <v>922</v>
      </c>
      <c r="C683" s="20" t="s">
        <v>923</v>
      </c>
      <c r="D683" s="20" t="s">
        <v>1114</v>
      </c>
      <c r="E683" s="373" t="s">
        <v>727</v>
      </c>
      <c r="F683" s="374"/>
      <c r="G683" s="88">
        <f>+ROUND(Návrh!H680,-3)/$X$2</f>
        <v>6172</v>
      </c>
      <c r="H683" s="88">
        <f>+ROUND(Návrh!I680,-3)/$X$2</f>
        <v>4617</v>
      </c>
      <c r="I683" s="88">
        <f>+ROUND(Návrh!J680,-3)/$X$2</f>
        <v>5300</v>
      </c>
      <c r="J683" s="88" t="e">
        <f>+ROUND(Návrh!#REF!,-3)/$X$2</f>
        <v>#REF!</v>
      </c>
      <c r="K683" s="88">
        <f>+ROUND(Návrh!K680,-3)/$X$2</f>
        <v>1443</v>
      </c>
      <c r="L683" s="88">
        <f>+ROUND(Návrh!L680,-3)/$X$2</f>
        <v>1507</v>
      </c>
      <c r="M683" s="67"/>
    </row>
    <row r="684" spans="1:13" x14ac:dyDescent="0.25">
      <c r="A684" s="42" t="s">
        <v>1517</v>
      </c>
      <c r="B684" s="20" t="s">
        <v>922</v>
      </c>
      <c r="C684" s="20" t="s">
        <v>923</v>
      </c>
      <c r="D684" s="20" t="s">
        <v>1114</v>
      </c>
      <c r="E684" s="373" t="s">
        <v>728</v>
      </c>
      <c r="F684" s="374"/>
      <c r="G684" s="88">
        <f>+ROUND(Návrh!H681,-3)/$X$2</f>
        <v>161200</v>
      </c>
      <c r="H684" s="88">
        <f>+ROUND(Návrh!I681,-3)/$X$2</f>
        <v>179799</v>
      </c>
      <c r="I684" s="88">
        <f>+ROUND(Návrh!J681,-3)/$X$2</f>
        <v>315100</v>
      </c>
      <c r="J684" s="88" t="e">
        <f>+ROUND(Návrh!#REF!,-3)/$X$2</f>
        <v>#REF!</v>
      </c>
      <c r="K684" s="88">
        <f>+ROUND(Návrh!K681,-3)/$X$2</f>
        <v>317128</v>
      </c>
      <c r="L684" s="88">
        <f>+ROUND(Návrh!L681,-3)/$X$2</f>
        <v>331399</v>
      </c>
      <c r="M684" s="67"/>
    </row>
    <row r="685" spans="1:13" x14ac:dyDescent="0.25">
      <c r="A685" s="42" t="s">
        <v>1518</v>
      </c>
      <c r="B685" s="20" t="s">
        <v>922</v>
      </c>
      <c r="C685" s="20" t="s">
        <v>923</v>
      </c>
      <c r="D685" s="20" t="s">
        <v>1114</v>
      </c>
      <c r="E685" s="373" t="s">
        <v>729</v>
      </c>
      <c r="F685" s="374"/>
      <c r="G685" s="88">
        <f>+ROUND(Návrh!H682,-3)/$X$2</f>
        <v>5646</v>
      </c>
      <c r="H685" s="88">
        <f>+ROUND(Návrh!I682,-3)/$X$2</f>
        <v>6696</v>
      </c>
      <c r="I685" s="88">
        <f>+ROUND(Návrh!J682,-3)/$X$2</f>
        <v>7000</v>
      </c>
      <c r="J685" s="88" t="e">
        <f>+ROUND(Návrh!#REF!,-3)/$X$2</f>
        <v>#REF!</v>
      </c>
      <c r="K685" s="88">
        <f>+ROUND(Návrh!K682,-3)/$X$2</f>
        <v>7378</v>
      </c>
      <c r="L685" s="88">
        <f>+ROUND(Návrh!L682,-3)/$X$2</f>
        <v>7710</v>
      </c>
      <c r="M685" s="67"/>
    </row>
    <row r="686" spans="1:13" x14ac:dyDescent="0.25">
      <c r="A686" s="42" t="s">
        <v>1519</v>
      </c>
      <c r="B686" s="20" t="s">
        <v>922</v>
      </c>
      <c r="C686" s="20" t="s">
        <v>923</v>
      </c>
      <c r="D686" s="20" t="s">
        <v>1114</v>
      </c>
      <c r="E686" s="373" t="s">
        <v>730</v>
      </c>
      <c r="F686" s="374"/>
      <c r="G686" s="88">
        <f>+ROUND(Návrh!H683,-3)/$X$2</f>
        <v>22116</v>
      </c>
      <c r="H686" s="88">
        <f>+ROUND(Návrh!I683,-3)/$X$2</f>
        <v>24789</v>
      </c>
      <c r="I686" s="88">
        <f>+ROUND(Návrh!J683,-3)/$X$2</f>
        <v>46800</v>
      </c>
      <c r="J686" s="88" t="e">
        <f>+ROUND(Návrh!#REF!,-3)/$X$2</f>
        <v>#REF!</v>
      </c>
      <c r="K686" s="88">
        <f>+ROUND(Návrh!K683,-3)/$X$2</f>
        <v>48447</v>
      </c>
      <c r="L686" s="88">
        <f>+ROUND(Návrh!L683,-3)/$X$2</f>
        <v>50627</v>
      </c>
      <c r="M686" s="67"/>
    </row>
    <row r="687" spans="1:13" x14ac:dyDescent="0.25">
      <c r="A687" s="42" t="s">
        <v>1520</v>
      </c>
      <c r="B687" s="35" t="s">
        <v>922</v>
      </c>
      <c r="C687" s="35" t="s">
        <v>923</v>
      </c>
      <c r="D687" s="35" t="s">
        <v>1114</v>
      </c>
      <c r="E687" s="373" t="s">
        <v>731</v>
      </c>
      <c r="F687" s="374"/>
      <c r="G687" s="88">
        <f>+ROUND(Návrh!H684,-3)/$X$2</f>
        <v>780</v>
      </c>
      <c r="H687" s="88">
        <f>+ROUND(Návrh!I684,-3)/$X$2</f>
        <v>516</v>
      </c>
      <c r="I687" s="88">
        <f>+ROUND(Návrh!J684,-3)/$X$2</f>
        <v>600</v>
      </c>
      <c r="J687" s="88" t="e">
        <f>+ROUND(Návrh!#REF!,-3)/$X$2</f>
        <v>#REF!</v>
      </c>
      <c r="K687" s="88">
        <f>+ROUND(Návrh!K684,-3)/$X$2</f>
        <v>2336</v>
      </c>
      <c r="L687" s="88">
        <f>+ROUND(Návrh!L684,-3)/$X$2</f>
        <v>2441</v>
      </c>
      <c r="M687" s="67"/>
    </row>
    <row r="688" spans="1:13" x14ac:dyDescent="0.25">
      <c r="A688" s="42" t="s">
        <v>1521</v>
      </c>
      <c r="B688" s="20" t="s">
        <v>922</v>
      </c>
      <c r="C688" s="20" t="s">
        <v>923</v>
      </c>
      <c r="D688" s="20" t="s">
        <v>1114</v>
      </c>
      <c r="E688" s="373" t="s">
        <v>732</v>
      </c>
      <c r="F688" s="374"/>
      <c r="G688" s="88">
        <f>+ROUND(Návrh!H685,-3)/$X$2</f>
        <v>235</v>
      </c>
      <c r="H688" s="88">
        <f>+ROUND(Návrh!I685,-3)/$X$2</f>
        <v>178</v>
      </c>
      <c r="I688" s="88">
        <f>+ROUND(Návrh!J685,-3)/$X$2</f>
        <v>400</v>
      </c>
      <c r="J688" s="88" t="e">
        <f>+ROUND(Návrh!#REF!,-3)/$X$2</f>
        <v>#REF!</v>
      </c>
      <c r="K688" s="88">
        <f>+ROUND(Návrh!K685,-3)/$X$2</f>
        <v>370</v>
      </c>
      <c r="L688" s="88">
        <f>+ROUND(Návrh!L685,-3)/$X$2</f>
        <v>386</v>
      </c>
      <c r="M688" s="67"/>
    </row>
    <row r="689" spans="1:13" x14ac:dyDescent="0.25">
      <c r="A689" s="42" t="s">
        <v>1522</v>
      </c>
      <c r="B689" s="20" t="s">
        <v>922</v>
      </c>
      <c r="C689" s="20" t="s">
        <v>923</v>
      </c>
      <c r="D689" s="20" t="s">
        <v>1114</v>
      </c>
      <c r="E689" s="373" t="s">
        <v>733</v>
      </c>
      <c r="F689" s="374"/>
      <c r="G689" s="88">
        <f>+ROUND(Návrh!H686,-3)/$X$2</f>
        <v>651</v>
      </c>
      <c r="H689" s="88">
        <f>+ROUND(Návrh!I686,-3)/$X$2</f>
        <v>626</v>
      </c>
      <c r="I689" s="88">
        <f>+ROUND(Návrh!J686,-3)/$X$2</f>
        <v>1350</v>
      </c>
      <c r="J689" s="88" t="e">
        <f>+ROUND(Návrh!#REF!,-3)/$X$2</f>
        <v>#REF!</v>
      </c>
      <c r="K689" s="88">
        <f>+ROUND(Návrh!K686,-3)/$X$2</f>
        <v>874</v>
      </c>
      <c r="L689" s="88">
        <f>+ROUND(Návrh!L686,-3)/$X$2</f>
        <v>914</v>
      </c>
      <c r="M689" s="67"/>
    </row>
    <row r="690" spans="1:13" x14ac:dyDescent="0.25">
      <c r="A690" s="42" t="s">
        <v>1524</v>
      </c>
      <c r="B690" s="20" t="s">
        <v>922</v>
      </c>
      <c r="C690" s="20" t="s">
        <v>923</v>
      </c>
      <c r="D690" s="20" t="s">
        <v>1114</v>
      </c>
      <c r="E690" s="373" t="s">
        <v>734</v>
      </c>
      <c r="F690" s="374"/>
      <c r="G690" s="88">
        <f>+ROUND(Návrh!H687,-3)/$X$2</f>
        <v>1577</v>
      </c>
      <c r="H690" s="88">
        <f>+ROUND(Návrh!I687,-3)/$X$2</f>
        <v>1693</v>
      </c>
      <c r="I690" s="88">
        <f>+ROUND(Návrh!J687,-3)/$X$2</f>
        <v>1700</v>
      </c>
      <c r="J690" s="88" t="e">
        <f>+ROUND(Návrh!#REF!,-3)/$X$2</f>
        <v>#REF!</v>
      </c>
      <c r="K690" s="88">
        <f>+ROUND(Návrh!K687,-3)/$X$2</f>
        <v>1583</v>
      </c>
      <c r="L690" s="88">
        <f>+ROUND(Návrh!L687,-3)/$X$2</f>
        <v>165</v>
      </c>
      <c r="M690" s="67"/>
    </row>
    <row r="691" spans="1:13" x14ac:dyDescent="0.25">
      <c r="A691" s="42" t="s">
        <v>1525</v>
      </c>
      <c r="B691" s="20" t="s">
        <v>922</v>
      </c>
      <c r="C691" s="20" t="s">
        <v>923</v>
      </c>
      <c r="D691" s="20" t="s">
        <v>1114</v>
      </c>
      <c r="E691" s="373" t="s">
        <v>735</v>
      </c>
      <c r="F691" s="374"/>
      <c r="G691" s="88">
        <f>+ROUND(Návrh!H688,-3)/$X$2</f>
        <v>9917</v>
      </c>
      <c r="H691" s="88">
        <f>+ROUND(Návrh!I688,-3)/$X$2</f>
        <v>11566</v>
      </c>
      <c r="I691" s="88">
        <f>+ROUND(Návrh!J688,-3)/$X$2</f>
        <v>11700</v>
      </c>
      <c r="J691" s="88" t="e">
        <f>+ROUND(Návrh!#REF!,-3)/$X$2</f>
        <v>#REF!</v>
      </c>
      <c r="K691" s="88">
        <f>+ROUND(Návrh!K688,-3)/$X$2</f>
        <v>13142</v>
      </c>
      <c r="L691" s="88">
        <f>+ROUND(Návrh!L688,-3)/$X$2</f>
        <v>13734</v>
      </c>
      <c r="M691" s="67"/>
    </row>
    <row r="692" spans="1:13" x14ac:dyDescent="0.25">
      <c r="A692" s="42" t="s">
        <v>1526</v>
      </c>
      <c r="B692" s="20" t="s">
        <v>922</v>
      </c>
      <c r="C692" s="20" t="s">
        <v>923</v>
      </c>
      <c r="D692" s="20" t="s">
        <v>1114</v>
      </c>
      <c r="E692" s="373" t="s">
        <v>1674</v>
      </c>
      <c r="F692" s="374"/>
      <c r="G692" s="88">
        <f>+ROUND(Návrh!H689,-3)/$X$2</f>
        <v>90</v>
      </c>
      <c r="H692" s="88">
        <f>+ROUND(Návrh!I689,-3)/$X$2</f>
        <v>148</v>
      </c>
      <c r="I692" s="88">
        <f>+ROUND(Návrh!J689,-3)/$X$2</f>
        <v>250</v>
      </c>
      <c r="J692" s="88" t="e">
        <f>+ROUND(Návrh!#REF!,-3)/$X$2</f>
        <v>#REF!</v>
      </c>
      <c r="K692" s="88">
        <f>+ROUND(Návrh!K689,-3)/$X$2</f>
        <v>34</v>
      </c>
      <c r="L692" s="88">
        <f>+ROUND(Návrh!L689,-3)/$X$2</f>
        <v>0</v>
      </c>
      <c r="M692" s="67"/>
    </row>
    <row r="693" spans="1:13" x14ac:dyDescent="0.25">
      <c r="A693" s="42" t="s">
        <v>1527</v>
      </c>
      <c r="B693" s="35"/>
      <c r="C693" s="35"/>
      <c r="D693" s="35"/>
      <c r="E693" s="373" t="s">
        <v>736</v>
      </c>
      <c r="F693" s="374"/>
      <c r="G693" s="88">
        <f>+ROUND(Návrh!H690,-3)/$X$2</f>
        <v>117633</v>
      </c>
      <c r="H693" s="88">
        <f>+ROUND(Návrh!I690,-3)/$X$2</f>
        <v>122455</v>
      </c>
      <c r="I693" s="88">
        <f>+ROUND(Návrh!J690,-3)/$X$2</f>
        <v>0</v>
      </c>
      <c r="J693" s="88" t="e">
        <f>+ROUND(Návrh!#REF!,-3)/$X$2</f>
        <v>#REF!</v>
      </c>
      <c r="K693" s="88">
        <f>+ROUND(Návrh!K690,-3)/$X$2</f>
        <v>0</v>
      </c>
      <c r="L693" s="88">
        <f>+ROUND(Návrh!L690,-3)/$X$2</f>
        <v>0</v>
      </c>
      <c r="M693" s="67"/>
    </row>
    <row r="694" spans="1:13" x14ac:dyDescent="0.25">
      <c r="A694" s="42" t="s">
        <v>1528</v>
      </c>
      <c r="B694" s="20"/>
      <c r="C694" s="20"/>
      <c r="D694" s="20"/>
      <c r="E694" s="373" t="s">
        <v>737</v>
      </c>
      <c r="F694" s="374"/>
      <c r="G694" s="88">
        <f>+ROUND(Návrh!H691,-3)/$X$2</f>
        <v>18057</v>
      </c>
      <c r="H694" s="88">
        <f>+ROUND(Návrh!I691,-3)/$X$2</f>
        <v>20085</v>
      </c>
      <c r="I694" s="88">
        <f>+ROUND(Návrh!J691,-3)/$X$2</f>
        <v>0</v>
      </c>
      <c r="J694" s="88" t="e">
        <f>+ROUND(Návrh!#REF!,-3)/$X$2</f>
        <v>#REF!</v>
      </c>
      <c r="K694" s="88">
        <f>+ROUND(Návrh!K691,-3)/$X$2</f>
        <v>0</v>
      </c>
      <c r="L694" s="88">
        <f>+ROUND(Návrh!L691,-3)/$X$2</f>
        <v>0</v>
      </c>
      <c r="M694" s="67"/>
    </row>
    <row r="695" spans="1:13" x14ac:dyDescent="0.25">
      <c r="A695" s="83" t="s">
        <v>1672</v>
      </c>
      <c r="B695" s="21" t="s">
        <v>922</v>
      </c>
      <c r="C695" s="21" t="s">
        <v>923</v>
      </c>
      <c r="D695" s="21" t="s">
        <v>1114</v>
      </c>
      <c r="E695" s="387" t="s">
        <v>1673</v>
      </c>
      <c r="F695" s="388"/>
      <c r="G695" s="95">
        <f>+ROUND(Návrh!H692,-3)/$X$2</f>
        <v>0</v>
      </c>
      <c r="H695" s="95">
        <f>+ROUND(Návrh!I692,-3)/$X$2</f>
        <v>0</v>
      </c>
      <c r="I695" s="95">
        <f>+ROUND(Návrh!J692,-3)/$X$2</f>
        <v>0</v>
      </c>
      <c r="J695" s="95" t="e">
        <f>+ROUND(Návrh!#REF!,-3)/$X$2</f>
        <v>#REF!</v>
      </c>
      <c r="K695" s="95">
        <f>+ROUND(Návrh!K692,-3)/$X$2</f>
        <v>0</v>
      </c>
      <c r="L695" s="95">
        <f>+ROUND(Návrh!L692,-3)/$X$2</f>
        <v>0</v>
      </c>
      <c r="M695" s="67"/>
    </row>
    <row r="696" spans="1:13" x14ac:dyDescent="0.25">
      <c r="A696" s="42" t="s">
        <v>1529</v>
      </c>
      <c r="B696" s="20" t="s">
        <v>922</v>
      </c>
      <c r="C696" s="20" t="s">
        <v>923</v>
      </c>
      <c r="D696" s="20" t="s">
        <v>1114</v>
      </c>
      <c r="E696" s="373" t="s">
        <v>738</v>
      </c>
      <c r="F696" s="374"/>
      <c r="G696" s="88">
        <f>+ROUND(Návrh!H693,-3)/$X$2</f>
        <v>0</v>
      </c>
      <c r="H696" s="88">
        <f>+ROUND(Návrh!I693,-3)/$X$2</f>
        <v>4</v>
      </c>
      <c r="I696" s="88">
        <f>+ROUND(Návrh!J693,-3)/$X$2</f>
        <v>0</v>
      </c>
      <c r="J696" s="88" t="e">
        <f>+ROUND(Návrh!#REF!,-3)/$X$2</f>
        <v>#REF!</v>
      </c>
      <c r="K696" s="88">
        <f>+ROUND(Návrh!K693,-3)/$X$2</f>
        <v>0</v>
      </c>
      <c r="L696" s="88">
        <f>+ROUND(Návrh!L693,-3)/$X$2</f>
        <v>0</v>
      </c>
      <c r="M696" s="67"/>
    </row>
    <row r="697" spans="1:13" x14ac:dyDescent="0.25">
      <c r="A697" s="42" t="s">
        <v>1530</v>
      </c>
      <c r="B697" s="20"/>
      <c r="C697" s="20"/>
      <c r="D697" s="20"/>
      <c r="E697" s="373" t="s">
        <v>739</v>
      </c>
      <c r="F697" s="374"/>
      <c r="G697" s="88">
        <f>+ROUND(Návrh!H694,-3)/$X$2</f>
        <v>506</v>
      </c>
      <c r="H697" s="88">
        <f>+ROUND(Návrh!I694,-3)/$X$2</f>
        <v>163</v>
      </c>
      <c r="I697" s="88">
        <f>+ROUND(Návrh!J694,-3)/$X$2</f>
        <v>0</v>
      </c>
      <c r="J697" s="88" t="e">
        <f>+ROUND(Návrh!#REF!,-3)/$X$2</f>
        <v>#REF!</v>
      </c>
      <c r="K697" s="88">
        <f>+ROUND(Návrh!K694,-3)/$X$2</f>
        <v>0</v>
      </c>
      <c r="L697" s="88">
        <f>+ROUND(Návrh!L694,-3)/$X$2</f>
        <v>0</v>
      </c>
      <c r="M697" s="67"/>
    </row>
    <row r="698" spans="1:13" x14ac:dyDescent="0.25">
      <c r="A698" s="42" t="s">
        <v>1531</v>
      </c>
      <c r="B698" s="20"/>
      <c r="C698" s="20"/>
      <c r="D698" s="20"/>
      <c r="E698" s="373" t="s">
        <v>740</v>
      </c>
      <c r="F698" s="374"/>
      <c r="G698" s="88">
        <f>+ROUND(Návrh!H695,-3)/$X$2</f>
        <v>732</v>
      </c>
      <c r="H698" s="88">
        <f>+ROUND(Návrh!I695,-3)/$X$2</f>
        <v>663</v>
      </c>
      <c r="I698" s="88">
        <f>+ROUND(Návrh!J695,-3)/$X$2</f>
        <v>0</v>
      </c>
      <c r="J698" s="88" t="e">
        <f>+ROUND(Návrh!#REF!,-3)/$X$2</f>
        <v>#REF!</v>
      </c>
      <c r="K698" s="88">
        <f>+ROUND(Návrh!K695,-3)/$X$2</f>
        <v>0</v>
      </c>
      <c r="L698" s="88">
        <f>+ROUND(Návrh!L695,-3)/$X$2</f>
        <v>0</v>
      </c>
      <c r="M698" s="67"/>
    </row>
    <row r="699" spans="1:13" x14ac:dyDescent="0.25">
      <c r="A699" s="51" t="s">
        <v>741</v>
      </c>
      <c r="B699" s="51"/>
      <c r="C699" s="49"/>
      <c r="D699" s="49"/>
      <c r="E699" s="395" t="s">
        <v>742</v>
      </c>
      <c r="F699" s="396"/>
      <c r="G699" s="98">
        <f>+ROUND(Návrh!H696,-3)/$X$2</f>
        <v>20879</v>
      </c>
      <c r="H699" s="98">
        <f>+ROUND(Návrh!I696,-3)/$X$2</f>
        <v>20548</v>
      </c>
      <c r="I699" s="98">
        <f>+ROUND(Návrh!J696,-3)/$X$2</f>
        <v>20460</v>
      </c>
      <c r="J699" s="98" t="e">
        <f>+ROUND(Návrh!#REF!,-3)/$X$2</f>
        <v>#REF!</v>
      </c>
      <c r="K699" s="98">
        <f>+ROUND(Návrh!K696,-3)/$X$2</f>
        <v>22543</v>
      </c>
      <c r="L699" s="98">
        <f>+ROUND(Návrh!L696,-3)/$X$2</f>
        <v>22604</v>
      </c>
      <c r="M699" s="67"/>
    </row>
    <row r="700" spans="1:13" x14ac:dyDescent="0.25">
      <c r="A700" s="55" t="s">
        <v>1532</v>
      </c>
      <c r="B700" s="55"/>
      <c r="C700" s="53"/>
      <c r="D700" s="53"/>
      <c r="E700" s="381" t="s">
        <v>743</v>
      </c>
      <c r="F700" s="382"/>
      <c r="G700" s="99">
        <f>+ROUND(Návrh!H697,-3)/$X$2</f>
        <v>20879</v>
      </c>
      <c r="H700" s="99">
        <f>+ROUND(Návrh!I697,-3)/$X$2</f>
        <v>20548</v>
      </c>
      <c r="I700" s="99">
        <f>+ROUND(Návrh!J697,-3)/$X$2</f>
        <v>20460</v>
      </c>
      <c r="J700" s="99" t="e">
        <f>+ROUND(Návrh!#REF!,-3)/$X$2</f>
        <v>#REF!</v>
      </c>
      <c r="K700" s="99">
        <f>+ROUND(Návrh!K697,-3)/$X$2</f>
        <v>22543</v>
      </c>
      <c r="L700" s="99">
        <f>+ROUND(Návrh!L697,-3)/$X$2</f>
        <v>22604</v>
      </c>
      <c r="M700" s="67"/>
    </row>
    <row r="701" spans="1:13" x14ac:dyDescent="0.25">
      <c r="A701" s="42" t="s">
        <v>1533</v>
      </c>
      <c r="B701" s="27" t="s">
        <v>916</v>
      </c>
      <c r="C701" s="28" t="s">
        <v>919</v>
      </c>
      <c r="D701" s="28" t="s">
        <v>917</v>
      </c>
      <c r="E701" s="373" t="s">
        <v>744</v>
      </c>
      <c r="F701" s="374"/>
      <c r="G701" s="88">
        <f>+ROUND(Návrh!H698,-3)/$X$2</f>
        <v>9352</v>
      </c>
      <c r="H701" s="88">
        <f>+ROUND(Návrh!I698,-3)/$X$2</f>
        <v>9573</v>
      </c>
      <c r="I701" s="88">
        <f>+ROUND(Návrh!J698,-3)/$X$2</f>
        <v>9500</v>
      </c>
      <c r="J701" s="88" t="e">
        <f>+ROUND(Návrh!#REF!,-3)/$X$2</f>
        <v>#REF!</v>
      </c>
      <c r="K701" s="88">
        <f>+ROUND(Návrh!K698,-3)/$X$2</f>
        <v>10483</v>
      </c>
      <c r="L701" s="88">
        <f>+ROUND(Návrh!L698,-3)/$X$2</f>
        <v>10296</v>
      </c>
      <c r="M701" s="67"/>
    </row>
    <row r="702" spans="1:13" x14ac:dyDescent="0.25">
      <c r="A702" s="42" t="s">
        <v>1534</v>
      </c>
      <c r="B702" s="27" t="s">
        <v>916</v>
      </c>
      <c r="C702" s="28" t="s">
        <v>919</v>
      </c>
      <c r="D702" s="28" t="s">
        <v>917</v>
      </c>
      <c r="E702" s="373" t="s">
        <v>745</v>
      </c>
      <c r="F702" s="374"/>
      <c r="G702" s="88">
        <f>+ROUND(Návrh!H699,-3)/$X$2</f>
        <v>918</v>
      </c>
      <c r="H702" s="88">
        <f>+ROUND(Návrh!I699,-3)/$X$2</f>
        <v>903</v>
      </c>
      <c r="I702" s="88">
        <f>+ROUND(Návrh!J699,-3)/$X$2</f>
        <v>950</v>
      </c>
      <c r="J702" s="88" t="e">
        <f>+ROUND(Návrh!#REF!,-3)/$X$2</f>
        <v>#REF!</v>
      </c>
      <c r="K702" s="88">
        <f>+ROUND(Návrh!K699,-3)/$X$2</f>
        <v>948</v>
      </c>
      <c r="L702" s="88">
        <f>+ROUND(Návrh!L699,-3)/$X$2</f>
        <v>962</v>
      </c>
      <c r="M702" s="67"/>
    </row>
    <row r="703" spans="1:13" x14ac:dyDescent="0.25">
      <c r="A703" s="42" t="s">
        <v>1535</v>
      </c>
      <c r="B703" s="27" t="s">
        <v>916</v>
      </c>
      <c r="C703" s="28" t="s">
        <v>919</v>
      </c>
      <c r="D703" s="28" t="s">
        <v>917</v>
      </c>
      <c r="E703" s="373" t="s">
        <v>746</v>
      </c>
      <c r="F703" s="374"/>
      <c r="G703" s="88">
        <f>+ROUND(Návrh!H700,-3)/$X$2</f>
        <v>8029</v>
      </c>
      <c r="H703" s="88">
        <f>+ROUND(Návrh!I700,-3)/$X$2</f>
        <v>7719</v>
      </c>
      <c r="I703" s="88">
        <f>+ROUND(Návrh!J700,-3)/$X$2</f>
        <v>7630</v>
      </c>
      <c r="J703" s="88" t="e">
        <f>+ROUND(Návrh!#REF!,-3)/$X$2</f>
        <v>#REF!</v>
      </c>
      <c r="K703" s="88">
        <f>+ROUND(Návrh!K700,-3)/$X$2</f>
        <v>8795</v>
      </c>
      <c r="L703" s="88">
        <f>+ROUND(Návrh!L700,-3)/$X$2</f>
        <v>8934</v>
      </c>
      <c r="M703" s="67"/>
    </row>
    <row r="704" spans="1:13" x14ac:dyDescent="0.25">
      <c r="A704" s="42" t="s">
        <v>1536</v>
      </c>
      <c r="B704" s="27" t="s">
        <v>916</v>
      </c>
      <c r="C704" s="28" t="s">
        <v>919</v>
      </c>
      <c r="D704" s="28" t="s">
        <v>917</v>
      </c>
      <c r="E704" s="373" t="s">
        <v>747</v>
      </c>
      <c r="F704" s="374"/>
      <c r="G704" s="88">
        <f>+ROUND(Návrh!H701,-3)/$X$2</f>
        <v>1805</v>
      </c>
      <c r="H704" s="88">
        <f>+ROUND(Návrh!I701,-3)/$X$2</f>
        <v>1526</v>
      </c>
      <c r="I704" s="88">
        <f>+ROUND(Návrh!J701,-3)/$X$2</f>
        <v>1590</v>
      </c>
      <c r="J704" s="88" t="e">
        <f>+ROUND(Návrh!#REF!,-3)/$X$2</f>
        <v>#REF!</v>
      </c>
      <c r="K704" s="88">
        <f>+ROUND(Návrh!K701,-3)/$X$2</f>
        <v>1517</v>
      </c>
      <c r="L704" s="88">
        <f>+ROUND(Návrh!L701,-3)/$X$2</f>
        <v>1590</v>
      </c>
      <c r="M704" s="67"/>
    </row>
    <row r="705" spans="1:13" x14ac:dyDescent="0.25">
      <c r="A705" s="42" t="s">
        <v>1537</v>
      </c>
      <c r="B705" s="27" t="s">
        <v>916</v>
      </c>
      <c r="C705" s="28" t="s">
        <v>919</v>
      </c>
      <c r="D705" s="28" t="s">
        <v>917</v>
      </c>
      <c r="E705" s="373" t="s">
        <v>748</v>
      </c>
      <c r="F705" s="374"/>
      <c r="G705" s="88">
        <f>+ROUND(Návrh!H702,-3)/$X$2</f>
        <v>365</v>
      </c>
      <c r="H705" s="88">
        <f>+ROUND(Návrh!I702,-3)/$X$2</f>
        <v>325</v>
      </c>
      <c r="I705" s="88">
        <f>+ROUND(Návrh!J702,-3)/$X$2</f>
        <v>320</v>
      </c>
      <c r="J705" s="88" t="e">
        <f>+ROUND(Návrh!#REF!,-3)/$X$2</f>
        <v>#REF!</v>
      </c>
      <c r="K705" s="88">
        <f>+ROUND(Návrh!K702,-3)/$X$2</f>
        <v>305</v>
      </c>
      <c r="L705" s="88">
        <f>+ROUND(Návrh!L702,-3)/$X$2</f>
        <v>320</v>
      </c>
      <c r="M705" s="67"/>
    </row>
    <row r="706" spans="1:13" x14ac:dyDescent="0.25">
      <c r="A706" s="42" t="s">
        <v>1538</v>
      </c>
      <c r="B706" s="27" t="s">
        <v>916</v>
      </c>
      <c r="C706" s="28" t="s">
        <v>919</v>
      </c>
      <c r="D706" s="28" t="s">
        <v>917</v>
      </c>
      <c r="E706" s="373" t="s">
        <v>749</v>
      </c>
      <c r="F706" s="374"/>
      <c r="G706" s="88">
        <f>+ROUND(Návrh!H703,-3)/$X$2</f>
        <v>410</v>
      </c>
      <c r="H706" s="88">
        <f>+ROUND(Návrh!I703,-3)/$X$2</f>
        <v>502</v>
      </c>
      <c r="I706" s="88">
        <f>+ROUND(Návrh!J703,-3)/$X$2</f>
        <v>470</v>
      </c>
      <c r="J706" s="88" t="e">
        <f>+ROUND(Návrh!#REF!,-3)/$X$2</f>
        <v>#REF!</v>
      </c>
      <c r="K706" s="88">
        <f>+ROUND(Návrh!K703,-3)/$X$2</f>
        <v>496</v>
      </c>
      <c r="L706" s="88">
        <f>+ROUND(Návrh!L703,-3)/$X$2</f>
        <v>502</v>
      </c>
      <c r="M706" s="67"/>
    </row>
    <row r="707" spans="1:13" x14ac:dyDescent="0.25">
      <c r="A707" s="51" t="s">
        <v>750</v>
      </c>
      <c r="B707" s="51"/>
      <c r="C707" s="49"/>
      <c r="D707" s="49"/>
      <c r="E707" s="395" t="s">
        <v>751</v>
      </c>
      <c r="F707" s="396"/>
      <c r="G707" s="98">
        <f>+ROUND(Návrh!H704,-3)/$X$2</f>
        <v>5438</v>
      </c>
      <c r="H707" s="98">
        <f>+ROUND(Návrh!I704,-3)/$X$2</f>
        <v>5848</v>
      </c>
      <c r="I707" s="98">
        <f>+ROUND(Návrh!J704,-3)/$X$2</f>
        <v>5800</v>
      </c>
      <c r="J707" s="98" t="e">
        <f>+ROUND(Návrh!#REF!,-3)/$X$2</f>
        <v>#REF!</v>
      </c>
      <c r="K707" s="98">
        <f>+ROUND(Návrh!K704,-3)/$X$2</f>
        <v>6033</v>
      </c>
      <c r="L707" s="98">
        <f>+ROUND(Návrh!L704,-3)/$X$2</f>
        <v>5900</v>
      </c>
      <c r="M707" s="67"/>
    </row>
    <row r="708" spans="1:13" x14ac:dyDescent="0.25">
      <c r="A708" s="55" t="s">
        <v>1539</v>
      </c>
      <c r="B708" s="55"/>
      <c r="C708" s="53"/>
      <c r="D708" s="53"/>
      <c r="E708" s="381" t="s">
        <v>752</v>
      </c>
      <c r="F708" s="382"/>
      <c r="G708" s="99">
        <f>+ROUND(Návrh!H705,-3)/$X$2</f>
        <v>5438</v>
      </c>
      <c r="H708" s="99">
        <f>+ROUND(Návrh!I705,-3)/$X$2</f>
        <v>5848</v>
      </c>
      <c r="I708" s="99">
        <f>+ROUND(Návrh!J705,-3)/$X$2</f>
        <v>5800</v>
      </c>
      <c r="J708" s="99" t="e">
        <f>+ROUND(Návrh!#REF!,-3)/$X$2</f>
        <v>#REF!</v>
      </c>
      <c r="K708" s="99">
        <f>+ROUND(Návrh!K705,-3)/$X$2</f>
        <v>6033</v>
      </c>
      <c r="L708" s="99">
        <f>+ROUND(Návrh!L705,-3)/$X$2</f>
        <v>5900</v>
      </c>
      <c r="M708" s="67"/>
    </row>
    <row r="709" spans="1:13" x14ac:dyDescent="0.25">
      <c r="A709" s="42" t="s">
        <v>1540</v>
      </c>
      <c r="B709" s="20" t="s">
        <v>916</v>
      </c>
      <c r="C709" s="20" t="s">
        <v>920</v>
      </c>
      <c r="D709" s="20" t="s">
        <v>1523</v>
      </c>
      <c r="E709" s="373" t="s">
        <v>753</v>
      </c>
      <c r="F709" s="374"/>
      <c r="G709" s="88">
        <f>+ROUND(Návrh!H706,-3)/$X$2</f>
        <v>5438</v>
      </c>
      <c r="H709" s="88">
        <f>+ROUND(Návrh!I706,-3)/$X$2</f>
        <v>5848</v>
      </c>
      <c r="I709" s="88">
        <f>+ROUND(Návrh!J706,-3)/$X$2</f>
        <v>5800</v>
      </c>
      <c r="J709" s="88" t="e">
        <f>+ROUND(Návrh!#REF!,-3)/$X$2</f>
        <v>#REF!</v>
      </c>
      <c r="K709" s="88">
        <f>+ROUND(Návrh!K706,-3)/$X$2</f>
        <v>6033</v>
      </c>
      <c r="L709" s="88">
        <f>+ROUND(Návrh!L706,-3)/$X$2</f>
        <v>5900</v>
      </c>
      <c r="M709" s="67"/>
    </row>
    <row r="710" spans="1:13" x14ac:dyDescent="0.25">
      <c r="A710" s="58" t="s">
        <v>754</v>
      </c>
      <c r="B710" s="58"/>
      <c r="C710" s="59"/>
      <c r="D710" s="59"/>
      <c r="E710" s="397" t="s">
        <v>755</v>
      </c>
      <c r="F710" s="398"/>
      <c r="G710" s="97">
        <f>+ROUND(Návrh!H707,-3)/$X$2</f>
        <v>0</v>
      </c>
      <c r="H710" s="97">
        <f>+ROUND(Návrh!I707,-3)/$X$2</f>
        <v>0</v>
      </c>
      <c r="I710" s="97">
        <f>+ROUND(Návrh!J707,-3)/$X$2</f>
        <v>0</v>
      </c>
      <c r="J710" s="97" t="e">
        <f>+ROUND(Návrh!#REF!,-3)/$X$2</f>
        <v>#REF!</v>
      </c>
      <c r="K710" s="97">
        <f>+ROUND(Návrh!K707,-3)/$X$2</f>
        <v>0</v>
      </c>
      <c r="L710" s="97">
        <f>+ROUND(Návrh!L707,-3)/$X$2</f>
        <v>0</v>
      </c>
      <c r="M710" s="67"/>
    </row>
    <row r="711" spans="1:13" x14ac:dyDescent="0.25">
      <c r="A711" s="51" t="s">
        <v>756</v>
      </c>
      <c r="B711" s="51"/>
      <c r="C711" s="49"/>
      <c r="D711" s="49"/>
      <c r="E711" s="395" t="s">
        <v>757</v>
      </c>
      <c r="F711" s="396"/>
      <c r="G711" s="98">
        <f>+ROUND(Návrh!H708,-3)/$X$2</f>
        <v>0</v>
      </c>
      <c r="H711" s="98">
        <f>+ROUND(Návrh!I708,-3)/$X$2</f>
        <v>0</v>
      </c>
      <c r="I711" s="98">
        <f>+ROUND(Návrh!J708,-3)/$X$2</f>
        <v>0</v>
      </c>
      <c r="J711" s="98" t="e">
        <f>+ROUND(Návrh!#REF!,-3)/$X$2</f>
        <v>#REF!</v>
      </c>
      <c r="K711" s="98">
        <f>+ROUND(Návrh!K708,-3)/$X$2</f>
        <v>0</v>
      </c>
      <c r="L711" s="98">
        <f>+ROUND(Návrh!L708,-3)/$X$2</f>
        <v>0</v>
      </c>
      <c r="M711" s="67"/>
    </row>
    <row r="712" spans="1:13" x14ac:dyDescent="0.25">
      <c r="A712" s="58" t="s">
        <v>758</v>
      </c>
      <c r="B712" s="58"/>
      <c r="C712" s="59"/>
      <c r="D712" s="59"/>
      <c r="E712" s="397" t="s">
        <v>759</v>
      </c>
      <c r="F712" s="398"/>
      <c r="G712" s="97">
        <f>+ROUND(Návrh!H709,-3)/$X$2</f>
        <v>0</v>
      </c>
      <c r="H712" s="97">
        <f>+ROUND(Návrh!I709,-3)/$X$2</f>
        <v>0</v>
      </c>
      <c r="I712" s="97">
        <f>+ROUND(Návrh!J709,-3)/$X$2</f>
        <v>0</v>
      </c>
      <c r="J712" s="97" t="e">
        <f>+ROUND(Návrh!#REF!,-3)/$X$2</f>
        <v>#REF!</v>
      </c>
      <c r="K712" s="97">
        <f>+ROUND(Návrh!K709,-3)/$X$2</f>
        <v>0</v>
      </c>
      <c r="L712" s="97">
        <f>+ROUND(Návrh!L709,-3)/$X$2</f>
        <v>0</v>
      </c>
      <c r="M712" s="67"/>
    </row>
    <row r="713" spans="1:13" x14ac:dyDescent="0.25">
      <c r="A713" s="51" t="s">
        <v>760</v>
      </c>
      <c r="B713" s="51"/>
      <c r="C713" s="49"/>
      <c r="D713" s="49"/>
      <c r="E713" s="395" t="s">
        <v>635</v>
      </c>
      <c r="F713" s="396"/>
      <c r="G713" s="98">
        <f>+ROUND(Návrh!H710,-3)/$X$2</f>
        <v>0</v>
      </c>
      <c r="H713" s="98">
        <f>+ROUND(Návrh!I710,-3)/$X$2</f>
        <v>0</v>
      </c>
      <c r="I713" s="98">
        <f>+ROUND(Návrh!J710,-3)/$X$2</f>
        <v>0</v>
      </c>
      <c r="J713" s="98" t="e">
        <f>+ROUND(Návrh!#REF!,-3)/$X$2</f>
        <v>#REF!</v>
      </c>
      <c r="K713" s="98">
        <f>+ROUND(Návrh!K710,-3)/$X$2</f>
        <v>0</v>
      </c>
      <c r="L713" s="98">
        <f>+ROUND(Návrh!L710,-3)/$X$2</f>
        <v>0</v>
      </c>
      <c r="M713" s="67"/>
    </row>
    <row r="714" spans="1:13" x14ac:dyDescent="0.25">
      <c r="A714" s="51" t="s">
        <v>761</v>
      </c>
      <c r="B714" s="51"/>
      <c r="C714" s="49"/>
      <c r="D714" s="49"/>
      <c r="E714" s="395" t="s">
        <v>637</v>
      </c>
      <c r="F714" s="396"/>
      <c r="G714" s="98">
        <f>+ROUND(Návrh!H711,-3)/$X$2</f>
        <v>0</v>
      </c>
      <c r="H714" s="98">
        <f>+ROUND(Návrh!I711,-3)/$X$2</f>
        <v>0</v>
      </c>
      <c r="I714" s="98">
        <f>+ROUND(Návrh!J711,-3)/$X$2</f>
        <v>0</v>
      </c>
      <c r="J714" s="98" t="e">
        <f>+ROUND(Návrh!#REF!,-3)/$X$2</f>
        <v>#REF!</v>
      </c>
      <c r="K714" s="98">
        <f>+ROUND(Návrh!K711,-3)/$X$2</f>
        <v>0</v>
      </c>
      <c r="L714" s="98">
        <f>+ROUND(Návrh!L711,-3)/$X$2</f>
        <v>0</v>
      </c>
      <c r="M714" s="67"/>
    </row>
    <row r="715" spans="1:13" x14ac:dyDescent="0.25">
      <c r="A715" s="51" t="s">
        <v>762</v>
      </c>
      <c r="B715" s="51"/>
      <c r="C715" s="49"/>
      <c r="D715" s="49"/>
      <c r="E715" s="395" t="s">
        <v>639</v>
      </c>
      <c r="F715" s="396"/>
      <c r="G715" s="98">
        <f>+ROUND(Návrh!H712,-3)/$X$2</f>
        <v>0</v>
      </c>
      <c r="H715" s="98">
        <f>+ROUND(Návrh!I712,-3)/$X$2</f>
        <v>0</v>
      </c>
      <c r="I715" s="98">
        <f>+ROUND(Návrh!J712,-3)/$X$2</f>
        <v>0</v>
      </c>
      <c r="J715" s="98" t="e">
        <f>+ROUND(Návrh!#REF!,-3)/$X$2</f>
        <v>#REF!</v>
      </c>
      <c r="K715" s="98">
        <f>+ROUND(Návrh!K712,-3)/$X$2</f>
        <v>0</v>
      </c>
      <c r="L715" s="98">
        <f>+ROUND(Návrh!L712,-3)/$X$2</f>
        <v>0</v>
      </c>
      <c r="M715" s="67"/>
    </row>
    <row r="716" spans="1:13" x14ac:dyDescent="0.25">
      <c r="A716" s="51" t="s">
        <v>763</v>
      </c>
      <c r="B716" s="51"/>
      <c r="C716" s="49"/>
      <c r="D716" s="49"/>
      <c r="E716" s="395" t="s">
        <v>764</v>
      </c>
      <c r="F716" s="396"/>
      <c r="G716" s="98">
        <f>+ROUND(Návrh!H713,-3)/$X$2</f>
        <v>0</v>
      </c>
      <c r="H716" s="98">
        <f>+ROUND(Návrh!I713,-3)/$X$2</f>
        <v>0</v>
      </c>
      <c r="I716" s="98">
        <f>+ROUND(Návrh!J713,-3)/$X$2</f>
        <v>0</v>
      </c>
      <c r="J716" s="98" t="e">
        <f>+ROUND(Návrh!#REF!,-3)/$X$2</f>
        <v>#REF!</v>
      </c>
      <c r="K716" s="98">
        <f>+ROUND(Návrh!K713,-3)/$X$2</f>
        <v>0</v>
      </c>
      <c r="L716" s="98">
        <f>+ROUND(Návrh!L713,-3)/$X$2</f>
        <v>0</v>
      </c>
      <c r="M716" s="67"/>
    </row>
    <row r="717" spans="1:13" x14ac:dyDescent="0.25">
      <c r="A717" s="58" t="s">
        <v>765</v>
      </c>
      <c r="B717" s="58"/>
      <c r="C717" s="59"/>
      <c r="D717" s="59"/>
      <c r="E717" s="397" t="s">
        <v>766</v>
      </c>
      <c r="F717" s="398"/>
      <c r="G717" s="97">
        <f>+ROUND(Návrh!H714,-3)/$X$2</f>
        <v>182493</v>
      </c>
      <c r="H717" s="97">
        <f>+ROUND(Návrh!I714,-3)/$X$2</f>
        <v>382643</v>
      </c>
      <c r="I717" s="97">
        <f>+ROUND(Návrh!J714,-3)/$X$2</f>
        <v>357626</v>
      </c>
      <c r="J717" s="97" t="e">
        <f>+ROUND(Návrh!#REF!,-3)/$X$2</f>
        <v>#REF!</v>
      </c>
      <c r="K717" s="97">
        <f>+ROUND(Návrh!K714,-3)/$X$2</f>
        <v>400622</v>
      </c>
      <c r="L717" s="97">
        <f>+ROUND(Návrh!L714,-3)/$X$2</f>
        <v>348408</v>
      </c>
      <c r="M717" s="67"/>
    </row>
    <row r="718" spans="1:13" x14ac:dyDescent="0.25">
      <c r="A718" s="51" t="s">
        <v>767</v>
      </c>
      <c r="B718" s="51"/>
      <c r="C718" s="49"/>
      <c r="D718" s="49"/>
      <c r="E718" s="395" t="s">
        <v>768</v>
      </c>
      <c r="F718" s="396"/>
      <c r="G718" s="98">
        <f>+ROUND(Návrh!H715,-3)/$X$2</f>
        <v>1378</v>
      </c>
      <c r="H718" s="98">
        <f>+ROUND(Návrh!I715,-3)/$X$2</f>
        <v>2047</v>
      </c>
      <c r="I718" s="98">
        <f>+ROUND(Návrh!J715,-3)/$X$2</f>
        <v>0</v>
      </c>
      <c r="J718" s="98" t="e">
        <f>+ROUND(Návrh!#REF!,-3)/$X$2</f>
        <v>#REF!</v>
      </c>
      <c r="K718" s="98">
        <f>+ROUND(Návrh!K715,-3)/$X$2</f>
        <v>10276</v>
      </c>
      <c r="L718" s="98">
        <f>+ROUND(Návrh!L715,-3)/$X$2</f>
        <v>0</v>
      </c>
      <c r="M718" s="67"/>
    </row>
    <row r="719" spans="1:13" x14ac:dyDescent="0.25">
      <c r="A719" s="55" t="s">
        <v>1541</v>
      </c>
      <c r="B719" s="55"/>
      <c r="C719" s="53"/>
      <c r="D719" s="53"/>
      <c r="E719" s="381" t="s">
        <v>769</v>
      </c>
      <c r="F719" s="382"/>
      <c r="G719" s="99">
        <f>+ROUND(Návrh!H716,-3)/$X$2</f>
        <v>1378</v>
      </c>
      <c r="H719" s="99">
        <f>+ROUND(Návrh!I716,-3)/$X$2</f>
        <v>2047</v>
      </c>
      <c r="I719" s="99">
        <f>+ROUND(Návrh!J716,-3)/$X$2</f>
        <v>0</v>
      </c>
      <c r="J719" s="99" t="e">
        <f>+ROUND(Návrh!#REF!,-3)/$X$2</f>
        <v>#REF!</v>
      </c>
      <c r="K719" s="99">
        <f>+ROUND(Návrh!K716,-3)/$X$2</f>
        <v>10276</v>
      </c>
      <c r="L719" s="99">
        <f>+ROUND(Návrh!L716,-3)/$X$2</f>
        <v>0</v>
      </c>
      <c r="M719" s="67"/>
    </row>
    <row r="720" spans="1:13" x14ac:dyDescent="0.25">
      <c r="A720" s="42" t="s">
        <v>1542</v>
      </c>
      <c r="B720" s="14"/>
      <c r="C720" s="13"/>
      <c r="D720" s="13"/>
      <c r="E720" s="373" t="s">
        <v>770</v>
      </c>
      <c r="F720" s="374"/>
      <c r="G720" s="88">
        <f>+ROUND(Návrh!H717,-3)/$X$2</f>
        <v>1352</v>
      </c>
      <c r="H720" s="88">
        <f>+ROUND(Návrh!I717,-3)/$X$2</f>
        <v>1130</v>
      </c>
      <c r="I720" s="88">
        <f>+ROUND(Návrh!J717,-3)/$X$2</f>
        <v>0</v>
      </c>
      <c r="J720" s="88" t="e">
        <f>+ROUND(Návrh!#REF!,-3)/$X$2</f>
        <v>#REF!</v>
      </c>
      <c r="K720" s="88">
        <f>+ROUND(Návrh!K717,-3)/$X$2</f>
        <v>9446</v>
      </c>
      <c r="L720" s="88">
        <f>+ROUND(Návrh!L717,-3)/$X$2</f>
        <v>0</v>
      </c>
      <c r="M720" s="67"/>
    </row>
    <row r="721" spans="1:13" x14ac:dyDescent="0.25">
      <c r="A721" s="42" t="s">
        <v>1543</v>
      </c>
      <c r="B721" s="14"/>
      <c r="C721" s="13"/>
      <c r="D721" s="13"/>
      <c r="E721" s="373" t="s">
        <v>771</v>
      </c>
      <c r="F721" s="374"/>
      <c r="G721" s="88">
        <f>+ROUND(Návrh!H718,-3)/$X$2</f>
        <v>0</v>
      </c>
      <c r="H721" s="88">
        <f>+ROUND(Návrh!I718,-3)/$X$2</f>
        <v>898</v>
      </c>
      <c r="I721" s="88">
        <f>+ROUND(Návrh!J718,-3)/$X$2</f>
        <v>0</v>
      </c>
      <c r="J721" s="88" t="e">
        <f>+ROUND(Návrh!#REF!,-3)/$X$2</f>
        <v>#REF!</v>
      </c>
      <c r="K721" s="88">
        <f>+ROUND(Návrh!K718,-3)/$X$2</f>
        <v>780</v>
      </c>
      <c r="L721" s="88">
        <f>+ROUND(Návrh!L718,-3)/$X$2</f>
        <v>0</v>
      </c>
      <c r="M721" s="67"/>
    </row>
    <row r="722" spans="1:13" x14ac:dyDescent="0.25">
      <c r="A722" s="42" t="s">
        <v>1544</v>
      </c>
      <c r="B722" s="14"/>
      <c r="C722" s="13"/>
      <c r="D722" s="13"/>
      <c r="E722" s="373" t="s">
        <v>772</v>
      </c>
      <c r="F722" s="374"/>
      <c r="G722" s="88">
        <f>+ROUND(Návrh!H719,-3)/$X$2</f>
        <v>25</v>
      </c>
      <c r="H722" s="88">
        <f>+ROUND(Návrh!I719,-3)/$X$2</f>
        <v>18</v>
      </c>
      <c r="I722" s="88">
        <f>+ROUND(Návrh!J719,-3)/$X$2</f>
        <v>0</v>
      </c>
      <c r="J722" s="88" t="e">
        <f>+ROUND(Návrh!#REF!,-3)/$X$2</f>
        <v>#REF!</v>
      </c>
      <c r="K722" s="88">
        <f>+ROUND(Návrh!K719,-3)/$X$2</f>
        <v>50</v>
      </c>
      <c r="L722" s="88">
        <f>+ROUND(Návrh!L719,-3)/$X$2</f>
        <v>0</v>
      </c>
      <c r="M722" s="67"/>
    </row>
    <row r="723" spans="1:13" x14ac:dyDescent="0.25">
      <c r="A723" s="51" t="s">
        <v>773</v>
      </c>
      <c r="B723" s="51"/>
      <c r="C723" s="49"/>
      <c r="D723" s="49"/>
      <c r="E723" s="395" t="s">
        <v>774</v>
      </c>
      <c r="F723" s="396"/>
      <c r="G723" s="98">
        <f>+ROUND(Návrh!H720,-3)/$X$2</f>
        <v>0</v>
      </c>
      <c r="H723" s="98">
        <f>+ROUND(Návrh!I720,-3)/$X$2</f>
        <v>0</v>
      </c>
      <c r="I723" s="98">
        <f>+ROUND(Návrh!J720,-3)/$X$2</f>
        <v>0</v>
      </c>
      <c r="J723" s="98" t="e">
        <f>+ROUND(Návrh!#REF!,-3)/$X$2</f>
        <v>#REF!</v>
      </c>
      <c r="K723" s="98">
        <f>+ROUND(Návrh!K720,-3)/$X$2</f>
        <v>0</v>
      </c>
      <c r="L723" s="98">
        <f>+ROUND(Návrh!L720,-3)/$X$2</f>
        <v>0</v>
      </c>
      <c r="M723" s="67"/>
    </row>
    <row r="724" spans="1:13" x14ac:dyDescent="0.25">
      <c r="A724" s="51" t="s">
        <v>775</v>
      </c>
      <c r="B724" s="51"/>
      <c r="C724" s="49"/>
      <c r="D724" s="49"/>
      <c r="E724" s="395" t="s">
        <v>425</v>
      </c>
      <c r="F724" s="396"/>
      <c r="G724" s="98">
        <f>+ROUND(Návrh!H721,-3)/$X$2</f>
        <v>0</v>
      </c>
      <c r="H724" s="98">
        <f>+ROUND(Návrh!I721,-3)/$X$2</f>
        <v>0</v>
      </c>
      <c r="I724" s="98">
        <f>+ROUND(Návrh!J721,-3)/$X$2</f>
        <v>0</v>
      </c>
      <c r="J724" s="98" t="e">
        <f>+ROUND(Návrh!#REF!,-3)/$X$2</f>
        <v>#REF!</v>
      </c>
      <c r="K724" s="98">
        <f>+ROUND(Návrh!K721,-3)/$X$2</f>
        <v>0</v>
      </c>
      <c r="L724" s="98">
        <f>+ROUND(Návrh!L721,-3)/$X$2</f>
        <v>0</v>
      </c>
      <c r="M724" s="67"/>
    </row>
    <row r="725" spans="1:13" x14ac:dyDescent="0.25">
      <c r="A725" s="55" t="s">
        <v>1545</v>
      </c>
      <c r="B725" s="55"/>
      <c r="C725" s="53"/>
      <c r="D725" s="53"/>
      <c r="E725" s="381" t="s">
        <v>776</v>
      </c>
      <c r="F725" s="382"/>
      <c r="G725" s="99">
        <f>+ROUND(Návrh!H722,-3)/$X$2</f>
        <v>0</v>
      </c>
      <c r="H725" s="99">
        <f>+ROUND(Návrh!I722,-3)/$X$2</f>
        <v>0</v>
      </c>
      <c r="I725" s="99">
        <f>+ROUND(Návrh!J722,-3)/$X$2</f>
        <v>0</v>
      </c>
      <c r="J725" s="99" t="e">
        <f>+ROUND(Návrh!#REF!,-3)/$X$2</f>
        <v>#REF!</v>
      </c>
      <c r="K725" s="99">
        <f>+ROUND(Návrh!K722,-3)/$X$2</f>
        <v>0</v>
      </c>
      <c r="L725" s="99">
        <f>+ROUND(Návrh!L722,-3)/$X$2</f>
        <v>0</v>
      </c>
      <c r="M725" s="67"/>
    </row>
    <row r="726" spans="1:13" x14ac:dyDescent="0.25">
      <c r="A726" s="42" t="s">
        <v>1546</v>
      </c>
      <c r="B726" s="14"/>
      <c r="C726" s="13"/>
      <c r="D726" s="13"/>
      <c r="E726" s="373" t="s">
        <v>777</v>
      </c>
      <c r="F726" s="374"/>
      <c r="G726" s="88">
        <f>+ROUND(Návrh!H723,-3)/$X$2</f>
        <v>0</v>
      </c>
      <c r="H726" s="88">
        <f>+ROUND(Návrh!I723,-3)/$X$2</f>
        <v>0</v>
      </c>
      <c r="I726" s="88">
        <f>+ROUND(Návrh!J723,-3)/$X$2</f>
        <v>0</v>
      </c>
      <c r="J726" s="88" t="e">
        <f>+ROUND(Návrh!#REF!,-3)/$X$2</f>
        <v>#REF!</v>
      </c>
      <c r="K726" s="88">
        <f>+ROUND(Návrh!K723,-3)/$X$2</f>
        <v>0</v>
      </c>
      <c r="L726" s="88">
        <f>+ROUND(Návrh!L723,-3)/$X$2</f>
        <v>0</v>
      </c>
      <c r="M726" s="67"/>
    </row>
    <row r="727" spans="1:13" x14ac:dyDescent="0.25">
      <c r="A727" s="51" t="s">
        <v>778</v>
      </c>
      <c r="B727" s="51"/>
      <c r="C727" s="49"/>
      <c r="D727" s="49"/>
      <c r="E727" s="395" t="s">
        <v>427</v>
      </c>
      <c r="F727" s="396"/>
      <c r="G727" s="98">
        <f>+ROUND(Návrh!H724,-3)/$X$2</f>
        <v>55015</v>
      </c>
      <c r="H727" s="98">
        <f>+ROUND(Návrh!I724,-3)/$X$2</f>
        <v>57819</v>
      </c>
      <c r="I727" s="98">
        <f>+ROUND(Návrh!J724,-3)/$X$2</f>
        <v>58920</v>
      </c>
      <c r="J727" s="98" t="e">
        <f>+ROUND(Návrh!#REF!,-3)/$X$2</f>
        <v>#REF!</v>
      </c>
      <c r="K727" s="98">
        <f>+ROUND(Návrh!K724,-3)/$X$2</f>
        <v>64146</v>
      </c>
      <c r="L727" s="98">
        <f>+ROUND(Návrh!L724,-3)/$X$2</f>
        <v>59269</v>
      </c>
      <c r="M727" s="67"/>
    </row>
    <row r="728" spans="1:13" x14ac:dyDescent="0.25">
      <c r="A728" s="55" t="s">
        <v>1547</v>
      </c>
      <c r="B728" s="55"/>
      <c r="C728" s="53"/>
      <c r="D728" s="53"/>
      <c r="E728" s="381" t="s">
        <v>779</v>
      </c>
      <c r="F728" s="382"/>
      <c r="G728" s="99">
        <f>+ROUND(Návrh!H725,-3)/$X$2</f>
        <v>55015</v>
      </c>
      <c r="H728" s="99">
        <f>+ROUND(Návrh!I725,-3)/$X$2</f>
        <v>57819</v>
      </c>
      <c r="I728" s="99">
        <f>+ROUND(Návrh!J725,-3)/$X$2</f>
        <v>58920</v>
      </c>
      <c r="J728" s="99" t="e">
        <f>+ROUND(Návrh!#REF!,-3)/$X$2</f>
        <v>#REF!</v>
      </c>
      <c r="K728" s="99">
        <f>+ROUND(Návrh!K725,-3)/$X$2</f>
        <v>64146</v>
      </c>
      <c r="L728" s="99">
        <f>+ROUND(Návrh!L725,-3)/$X$2</f>
        <v>59269</v>
      </c>
      <c r="M728" s="67"/>
    </row>
    <row r="729" spans="1:13" x14ac:dyDescent="0.25">
      <c r="A729" s="42" t="s">
        <v>1548</v>
      </c>
      <c r="B729" s="20" t="s">
        <v>922</v>
      </c>
      <c r="C729" s="20" t="s">
        <v>919</v>
      </c>
      <c r="D729" s="20" t="s">
        <v>924</v>
      </c>
      <c r="E729" s="373" t="s">
        <v>780</v>
      </c>
      <c r="F729" s="374"/>
      <c r="G729" s="88">
        <f>+ROUND(Návrh!H726,-3)/$X$2</f>
        <v>12350</v>
      </c>
      <c r="H729" s="88">
        <f>+ROUND(Návrh!I726,-3)/$X$2</f>
        <v>12770</v>
      </c>
      <c r="I729" s="88">
        <f>+ROUND(Návrh!J726,-3)/$X$2</f>
        <v>14800</v>
      </c>
      <c r="J729" s="88" t="e">
        <f>+ROUND(Návrh!#REF!,-3)/$X$2</f>
        <v>#REF!</v>
      </c>
      <c r="K729" s="88">
        <f>+ROUND(Návrh!K726,-3)/$X$2</f>
        <v>14438</v>
      </c>
      <c r="L729" s="88">
        <f>+ROUND(Návrh!L726,-3)/$X$2</f>
        <v>14997</v>
      </c>
      <c r="M729" s="67"/>
    </row>
    <row r="730" spans="1:13" x14ac:dyDescent="0.25">
      <c r="A730" s="42" t="s">
        <v>1549</v>
      </c>
      <c r="B730" s="20" t="s">
        <v>922</v>
      </c>
      <c r="C730" s="20" t="s">
        <v>919</v>
      </c>
      <c r="D730" s="20" t="s">
        <v>924</v>
      </c>
      <c r="E730" s="373" t="s">
        <v>781</v>
      </c>
      <c r="F730" s="374"/>
      <c r="G730" s="88">
        <f>+ROUND(Návrh!H727,-3)/$X$2</f>
        <v>42448</v>
      </c>
      <c r="H730" s="88">
        <f>+ROUND(Návrh!I727,-3)/$X$2</f>
        <v>44884</v>
      </c>
      <c r="I730" s="88">
        <f>+ROUND(Návrh!J727,-3)/$X$2</f>
        <v>44000</v>
      </c>
      <c r="J730" s="88" t="e">
        <f>+ROUND(Návrh!#REF!,-3)/$X$2</f>
        <v>#REF!</v>
      </c>
      <c r="K730" s="88">
        <f>+ROUND(Návrh!K727,-3)/$X$2</f>
        <v>49286</v>
      </c>
      <c r="L730" s="88">
        <f>+ROUND(Návrh!L727,-3)/$X$2</f>
        <v>43878</v>
      </c>
      <c r="M730" s="67"/>
    </row>
    <row r="731" spans="1:13" x14ac:dyDescent="0.25">
      <c r="A731" s="42" t="s">
        <v>1550</v>
      </c>
      <c r="B731" s="20" t="s">
        <v>922</v>
      </c>
      <c r="C731" s="20" t="s">
        <v>919</v>
      </c>
      <c r="D731" s="20" t="s">
        <v>924</v>
      </c>
      <c r="E731" s="373" t="s">
        <v>782</v>
      </c>
      <c r="F731" s="374"/>
      <c r="G731" s="88">
        <f>+ROUND(Návrh!H728,-3)/$X$2</f>
        <v>173</v>
      </c>
      <c r="H731" s="88">
        <f>+ROUND(Návrh!I728,-3)/$X$2</f>
        <v>77</v>
      </c>
      <c r="I731" s="88">
        <f>+ROUND(Návrh!J728,-3)/$X$2</f>
        <v>100</v>
      </c>
      <c r="J731" s="88" t="e">
        <f>+ROUND(Návrh!#REF!,-3)/$X$2</f>
        <v>#REF!</v>
      </c>
      <c r="K731" s="88">
        <f>+ROUND(Návrh!K728,-3)/$X$2</f>
        <v>302</v>
      </c>
      <c r="L731" s="88">
        <f>+ROUND(Návrh!L728,-3)/$X$2</f>
        <v>374</v>
      </c>
      <c r="M731" s="67"/>
    </row>
    <row r="732" spans="1:13" x14ac:dyDescent="0.25">
      <c r="A732" s="42" t="s">
        <v>1551</v>
      </c>
      <c r="B732" s="20" t="s">
        <v>916</v>
      </c>
      <c r="C732" s="20" t="s">
        <v>919</v>
      </c>
      <c r="D732" s="20" t="s">
        <v>1649</v>
      </c>
      <c r="E732" s="373" t="s">
        <v>783</v>
      </c>
      <c r="F732" s="374"/>
      <c r="G732" s="88">
        <f>+ROUND(Návrh!H729,-3)/$X$2</f>
        <v>39</v>
      </c>
      <c r="H732" s="88">
        <f>+ROUND(Návrh!I729,-3)/$X$2</f>
        <v>82</v>
      </c>
      <c r="I732" s="88">
        <f>+ROUND(Návrh!J729,-3)/$X$2</f>
        <v>20</v>
      </c>
      <c r="J732" s="88" t="e">
        <f>+ROUND(Návrh!#REF!,-3)/$X$2</f>
        <v>#REF!</v>
      </c>
      <c r="K732" s="88">
        <f>+ROUND(Návrh!K729,-3)/$X$2</f>
        <v>119</v>
      </c>
      <c r="L732" s="88">
        <f>+ROUND(Návrh!L729,-3)/$X$2</f>
        <v>20</v>
      </c>
      <c r="M732" s="67"/>
    </row>
    <row r="733" spans="1:13" x14ac:dyDescent="0.25">
      <c r="A733" s="42" t="s">
        <v>1552</v>
      </c>
      <c r="B733" s="14"/>
      <c r="C733" s="13"/>
      <c r="D733" s="13"/>
      <c r="E733" s="373" t="s">
        <v>784</v>
      </c>
      <c r="F733" s="374"/>
      <c r="G733" s="88">
        <f>+ROUND(Návrh!H730,-3)/$X$2</f>
        <v>5</v>
      </c>
      <c r="H733" s="88">
        <f>+ROUND(Návrh!I730,-3)/$X$2</f>
        <v>5</v>
      </c>
      <c r="I733" s="88">
        <f>+ROUND(Návrh!J730,-3)/$X$2</f>
        <v>0</v>
      </c>
      <c r="J733" s="88" t="e">
        <f>+ROUND(Návrh!#REF!,-3)/$X$2</f>
        <v>#REF!</v>
      </c>
      <c r="K733" s="88">
        <f>+ROUND(Návrh!K730,-3)/$X$2</f>
        <v>0</v>
      </c>
      <c r="L733" s="88">
        <f>+ROUND(Návrh!L730,-3)/$X$2</f>
        <v>0</v>
      </c>
      <c r="M733" s="67"/>
    </row>
    <row r="734" spans="1:13" x14ac:dyDescent="0.25">
      <c r="A734" s="51" t="s">
        <v>785</v>
      </c>
      <c r="B734" s="51"/>
      <c r="C734" s="49"/>
      <c r="D734" s="49"/>
      <c r="E734" s="395" t="s">
        <v>786</v>
      </c>
      <c r="F734" s="396"/>
      <c r="G734" s="98">
        <f>+ROUND(Návrh!H731,-3)/$X$2</f>
        <v>25</v>
      </c>
      <c r="H734" s="98">
        <f>+ROUND(Návrh!I731,-3)/$X$2</f>
        <v>37</v>
      </c>
      <c r="I734" s="98">
        <f>+ROUND(Návrh!J731,-3)/$X$2</f>
        <v>0</v>
      </c>
      <c r="J734" s="98" t="e">
        <f>+ROUND(Návrh!#REF!,-3)/$X$2</f>
        <v>#REF!</v>
      </c>
      <c r="K734" s="98">
        <f>+ROUND(Návrh!K731,-3)/$X$2</f>
        <v>0</v>
      </c>
      <c r="L734" s="98">
        <f>+ROUND(Návrh!L731,-3)/$X$2</f>
        <v>0</v>
      </c>
      <c r="M734" s="67"/>
    </row>
    <row r="735" spans="1:13" x14ac:dyDescent="0.25">
      <c r="A735" s="55" t="s">
        <v>1553</v>
      </c>
      <c r="B735" s="55"/>
      <c r="C735" s="53"/>
      <c r="D735" s="53"/>
      <c r="E735" s="381" t="s">
        <v>787</v>
      </c>
      <c r="F735" s="382"/>
      <c r="G735" s="99">
        <f>+ROUND(Návrh!H732,-3)/$X$2</f>
        <v>25</v>
      </c>
      <c r="H735" s="99">
        <f>+ROUND(Návrh!I732,-3)/$X$2</f>
        <v>37</v>
      </c>
      <c r="I735" s="99">
        <f>+ROUND(Návrh!J732,-3)/$X$2</f>
        <v>0</v>
      </c>
      <c r="J735" s="99" t="e">
        <f>+ROUND(Návrh!#REF!,-3)/$X$2</f>
        <v>#REF!</v>
      </c>
      <c r="K735" s="99">
        <f>+ROUND(Návrh!K732,-3)/$X$2</f>
        <v>0</v>
      </c>
      <c r="L735" s="99">
        <f>+ROUND(Návrh!L732,-3)/$X$2</f>
        <v>0</v>
      </c>
      <c r="M735" s="67"/>
    </row>
    <row r="736" spans="1:13" x14ac:dyDescent="0.25">
      <c r="A736" s="42" t="s">
        <v>1554</v>
      </c>
      <c r="B736" s="14"/>
      <c r="C736" s="13"/>
      <c r="D736" s="13"/>
      <c r="E736" s="373" t="s">
        <v>788</v>
      </c>
      <c r="F736" s="374"/>
      <c r="G736" s="88">
        <f>+ROUND(Návrh!H733,-3)/$X$2</f>
        <v>25</v>
      </c>
      <c r="H736" s="88">
        <f>+ROUND(Návrh!I733,-3)/$X$2</f>
        <v>37</v>
      </c>
      <c r="I736" s="88">
        <f>+ROUND(Návrh!J733,-3)/$X$2</f>
        <v>0</v>
      </c>
      <c r="J736" s="88" t="e">
        <f>+ROUND(Návrh!#REF!,-3)/$X$2</f>
        <v>#REF!</v>
      </c>
      <c r="K736" s="88">
        <f>+ROUND(Návrh!K733,-3)/$X$2</f>
        <v>0</v>
      </c>
      <c r="L736" s="88">
        <f>+ROUND(Návrh!L733,-3)/$X$2</f>
        <v>0</v>
      </c>
      <c r="M736" s="67"/>
    </row>
    <row r="737" spans="1:13" x14ac:dyDescent="0.25">
      <c r="A737" s="51" t="s">
        <v>789</v>
      </c>
      <c r="B737" s="51"/>
      <c r="C737" s="49"/>
      <c r="D737" s="49"/>
      <c r="E737" s="395" t="s">
        <v>790</v>
      </c>
      <c r="F737" s="396"/>
      <c r="G737" s="98">
        <f>+ROUND(Návrh!H734,-3)/$X$2</f>
        <v>12610</v>
      </c>
      <c r="H737" s="98">
        <f>+ROUND(Návrh!I734,-3)/$X$2</f>
        <v>11192</v>
      </c>
      <c r="I737" s="98">
        <f>+ROUND(Návrh!J734,-3)/$X$2</f>
        <v>11064</v>
      </c>
      <c r="J737" s="98" t="e">
        <f>+ROUND(Návrh!#REF!,-3)/$X$2</f>
        <v>#REF!</v>
      </c>
      <c r="K737" s="98">
        <f>+ROUND(Návrh!K734,-3)/$X$2</f>
        <v>11361</v>
      </c>
      <c r="L737" s="98">
        <f>+ROUND(Návrh!L734,-3)/$X$2</f>
        <v>13281</v>
      </c>
      <c r="M737" s="67"/>
    </row>
    <row r="738" spans="1:13" x14ac:dyDescent="0.25">
      <c r="A738" s="55" t="s">
        <v>1555</v>
      </c>
      <c r="B738" s="55"/>
      <c r="C738" s="53"/>
      <c r="D738" s="53"/>
      <c r="E738" s="381" t="s">
        <v>791</v>
      </c>
      <c r="F738" s="382"/>
      <c r="G738" s="99">
        <f>+ROUND(Návrh!H735,-3)/$X$2</f>
        <v>3698</v>
      </c>
      <c r="H738" s="99">
        <f>+ROUND(Návrh!I735,-3)/$X$2</f>
        <v>0</v>
      </c>
      <c r="I738" s="99">
        <f>+ROUND(Návrh!J735,-3)/$X$2</f>
        <v>0</v>
      </c>
      <c r="J738" s="99" t="e">
        <f>+ROUND(Návrh!#REF!,-3)/$X$2</f>
        <v>#REF!</v>
      </c>
      <c r="K738" s="99">
        <f>+ROUND(Návrh!K735,-3)/$X$2</f>
        <v>0</v>
      </c>
      <c r="L738" s="99">
        <f>+ROUND(Návrh!L735,-3)/$X$2</f>
        <v>0</v>
      </c>
      <c r="M738" s="67"/>
    </row>
    <row r="739" spans="1:13" x14ac:dyDescent="0.25">
      <c r="A739" s="42" t="s">
        <v>1556</v>
      </c>
      <c r="B739" s="27"/>
      <c r="C739" s="28"/>
      <c r="D739" s="28"/>
      <c r="E739" s="373" t="s">
        <v>792</v>
      </c>
      <c r="F739" s="374"/>
      <c r="G739" s="88">
        <f>+ROUND(Návrh!H736,-3)/$X$2</f>
        <v>3698</v>
      </c>
      <c r="H739" s="88">
        <f>+ROUND(Návrh!I736,-3)/$X$2</f>
        <v>0</v>
      </c>
      <c r="I739" s="88">
        <f>+ROUND(Návrh!J736,-3)/$X$2</f>
        <v>0</v>
      </c>
      <c r="J739" s="88" t="e">
        <f>+ROUND(Návrh!#REF!,-3)/$X$2</f>
        <v>#REF!</v>
      </c>
      <c r="K739" s="88">
        <f>+ROUND(Návrh!K736,-3)/$X$2</f>
        <v>0</v>
      </c>
      <c r="L739" s="88">
        <f>+ROUND(Návrh!L736,-3)/$X$2</f>
        <v>0</v>
      </c>
      <c r="M739" s="67"/>
    </row>
    <row r="740" spans="1:13" x14ac:dyDescent="0.25">
      <c r="A740" s="55" t="s">
        <v>1557</v>
      </c>
      <c r="B740" s="55"/>
      <c r="C740" s="53"/>
      <c r="D740" s="53"/>
      <c r="E740" s="381" t="s">
        <v>793</v>
      </c>
      <c r="F740" s="382"/>
      <c r="G740" s="99">
        <f>+ROUND(Návrh!H737,-3)/$X$2</f>
        <v>3337</v>
      </c>
      <c r="H740" s="99">
        <f>+ROUND(Návrh!I737,-3)/$X$2</f>
        <v>2281</v>
      </c>
      <c r="I740" s="99">
        <f>+ROUND(Návrh!J737,-3)/$X$2</f>
        <v>2000</v>
      </c>
      <c r="J740" s="99" t="e">
        <f>+ROUND(Návrh!#REF!,-3)/$X$2</f>
        <v>#REF!</v>
      </c>
      <c r="K740" s="99">
        <f>+ROUND(Návrh!K737,-3)/$X$2</f>
        <v>2218</v>
      </c>
      <c r="L740" s="99">
        <f>+ROUND(Návrh!L737,-3)/$X$2</f>
        <v>2500</v>
      </c>
      <c r="M740" s="67"/>
    </row>
    <row r="741" spans="1:13" x14ac:dyDescent="0.25">
      <c r="A741" s="42" t="s">
        <v>1558</v>
      </c>
      <c r="B741" s="27" t="s">
        <v>916</v>
      </c>
      <c r="C741" s="28" t="s">
        <v>920</v>
      </c>
      <c r="D741" s="28" t="s">
        <v>917</v>
      </c>
      <c r="E741" s="373" t="s">
        <v>794</v>
      </c>
      <c r="F741" s="374"/>
      <c r="G741" s="88">
        <f>+ROUND(Návrh!H738,-3)/$X$2</f>
        <v>3337</v>
      </c>
      <c r="H741" s="88">
        <f>+ROUND(Návrh!I738,-3)/$X$2</f>
        <v>2281</v>
      </c>
      <c r="I741" s="88">
        <f>+ROUND(Návrh!J738,-3)/$X$2</f>
        <v>2000</v>
      </c>
      <c r="J741" s="88" t="e">
        <f>+ROUND(Návrh!#REF!,-3)/$X$2</f>
        <v>#REF!</v>
      </c>
      <c r="K741" s="88">
        <f>+ROUND(Návrh!K738,-3)/$X$2</f>
        <v>2218</v>
      </c>
      <c r="L741" s="88">
        <f>+ROUND(Návrh!L738,-3)/$X$2</f>
        <v>2500</v>
      </c>
      <c r="M741" s="67"/>
    </row>
    <row r="742" spans="1:13" x14ac:dyDescent="0.25">
      <c r="A742" s="55" t="s">
        <v>1559</v>
      </c>
      <c r="B742" s="55"/>
      <c r="C742" s="53"/>
      <c r="D742" s="53"/>
      <c r="E742" s="381" t="s">
        <v>795</v>
      </c>
      <c r="F742" s="382"/>
      <c r="G742" s="99">
        <f>+ROUND(Návrh!H739,-3)/$X$2</f>
        <v>5576</v>
      </c>
      <c r="H742" s="99">
        <f>+ROUND(Návrh!I739,-3)/$X$2</f>
        <v>8911</v>
      </c>
      <c r="I742" s="99">
        <f>+ROUND(Návrh!J739,-3)/$X$2</f>
        <v>9064</v>
      </c>
      <c r="J742" s="99" t="e">
        <f>+ROUND(Návrh!#REF!,-3)/$X$2</f>
        <v>#REF!</v>
      </c>
      <c r="K742" s="99">
        <f>+ROUND(Návrh!K739,-3)/$X$2</f>
        <v>9144</v>
      </c>
      <c r="L742" s="99">
        <f>+ROUND(Návrh!L739,-3)/$X$2</f>
        <v>10781</v>
      </c>
      <c r="M742" s="67"/>
    </row>
    <row r="743" spans="1:13" x14ac:dyDescent="0.25">
      <c r="A743" s="42" t="s">
        <v>1560</v>
      </c>
      <c r="B743" s="27" t="s">
        <v>916</v>
      </c>
      <c r="C743" s="28" t="s">
        <v>919</v>
      </c>
      <c r="D743" s="28" t="s">
        <v>917</v>
      </c>
      <c r="E743" s="373" t="s">
        <v>796</v>
      </c>
      <c r="F743" s="374"/>
      <c r="G743" s="88">
        <f>+ROUND(Návrh!H740,-3)/$X$2</f>
        <v>2425</v>
      </c>
      <c r="H743" s="88">
        <f>+ROUND(Návrh!I740,-3)/$X$2</f>
        <v>3814</v>
      </c>
      <c r="I743" s="88">
        <f>+ROUND(Návrh!J740,-3)/$X$2</f>
        <v>4064</v>
      </c>
      <c r="J743" s="88" t="e">
        <f>+ROUND(Návrh!#REF!,-3)/$X$2</f>
        <v>#REF!</v>
      </c>
      <c r="K743" s="88">
        <f>+ROUND(Návrh!K740,-3)/$X$2</f>
        <v>3736</v>
      </c>
      <c r="L743" s="88">
        <f>+ROUND(Návrh!L740,-3)/$X$2</f>
        <v>4505</v>
      </c>
      <c r="M743" s="67"/>
    </row>
    <row r="744" spans="1:13" x14ac:dyDescent="0.25">
      <c r="A744" s="42" t="s">
        <v>1561</v>
      </c>
      <c r="B744" s="27" t="s">
        <v>916</v>
      </c>
      <c r="C744" s="28" t="s">
        <v>919</v>
      </c>
      <c r="D744" s="28" t="s">
        <v>917</v>
      </c>
      <c r="E744" s="373" t="s">
        <v>797</v>
      </c>
      <c r="F744" s="374"/>
      <c r="G744" s="88">
        <f>+ROUND(Návrh!H741,-3)/$X$2</f>
        <v>3151</v>
      </c>
      <c r="H744" s="88">
        <f>+ROUND(Návrh!I741,-3)/$X$2</f>
        <v>5038</v>
      </c>
      <c r="I744" s="88">
        <f>+ROUND(Návrh!J741,-3)/$X$2</f>
        <v>5000</v>
      </c>
      <c r="J744" s="88" t="e">
        <f>+ROUND(Návrh!#REF!,-3)/$X$2</f>
        <v>#REF!</v>
      </c>
      <c r="K744" s="88">
        <f>+ROUND(Návrh!K741,-3)/$X$2</f>
        <v>5259</v>
      </c>
      <c r="L744" s="88">
        <f>+ROUND(Návrh!L741,-3)/$X$2</f>
        <v>6276</v>
      </c>
      <c r="M744" s="67"/>
    </row>
    <row r="745" spans="1:13" x14ac:dyDescent="0.25">
      <c r="A745" s="42" t="s">
        <v>1562</v>
      </c>
      <c r="B745" s="27" t="s">
        <v>916</v>
      </c>
      <c r="C745" s="28" t="s">
        <v>919</v>
      </c>
      <c r="D745" s="93" t="s">
        <v>917</v>
      </c>
      <c r="E745" s="373" t="s">
        <v>798</v>
      </c>
      <c r="F745" s="374"/>
      <c r="G745" s="88">
        <f>+ROUND(Návrh!H742,-3)/$X$2</f>
        <v>0</v>
      </c>
      <c r="H745" s="88">
        <f>+ROUND(Návrh!I742,-3)/$X$2</f>
        <v>60</v>
      </c>
      <c r="I745" s="88">
        <f>+ROUND(Návrh!J742,-3)/$X$2</f>
        <v>0</v>
      </c>
      <c r="J745" s="88" t="e">
        <f>+ROUND(Návrh!#REF!,-3)/$X$2</f>
        <v>#REF!</v>
      </c>
      <c r="K745" s="88">
        <f>+ROUND(Návrh!K742,-3)/$X$2</f>
        <v>149</v>
      </c>
      <c r="L745" s="88">
        <f>+ROUND(Návrh!L742,-3)/$X$2</f>
        <v>0</v>
      </c>
      <c r="M745" s="67"/>
    </row>
    <row r="746" spans="1:13" x14ac:dyDescent="0.25">
      <c r="A746" s="51" t="s">
        <v>799</v>
      </c>
      <c r="B746" s="51"/>
      <c r="C746" s="49"/>
      <c r="D746" s="49"/>
      <c r="E746" s="395" t="s">
        <v>800</v>
      </c>
      <c r="F746" s="396"/>
      <c r="G746" s="98">
        <f>+ROUND(Návrh!H743,-3)/$X$2</f>
        <v>113466</v>
      </c>
      <c r="H746" s="98">
        <f>+ROUND(Návrh!I743,-3)/$X$2</f>
        <v>311547</v>
      </c>
      <c r="I746" s="98">
        <f>+ROUND(Návrh!J743,-3)/$X$2</f>
        <v>287642</v>
      </c>
      <c r="J746" s="98" t="e">
        <f>+ROUND(Návrh!#REF!,-3)/$X$2</f>
        <v>#REF!</v>
      </c>
      <c r="K746" s="98">
        <f>+ROUND(Návrh!K743,-3)/$X$2</f>
        <v>314839</v>
      </c>
      <c r="L746" s="98">
        <f>+ROUND(Návrh!L743,-3)/$X$2</f>
        <v>275857</v>
      </c>
      <c r="M746" s="67"/>
    </row>
    <row r="747" spans="1:13" x14ac:dyDescent="0.25">
      <c r="A747" s="55" t="s">
        <v>1563</v>
      </c>
      <c r="B747" s="55"/>
      <c r="C747" s="53"/>
      <c r="D747" s="53"/>
      <c r="E747" s="381" t="s">
        <v>801</v>
      </c>
      <c r="F747" s="382"/>
      <c r="G747" s="99">
        <f>+ROUND(Návrh!H744,-3)/$X$2</f>
        <v>62</v>
      </c>
      <c r="H747" s="99">
        <f>+ROUND(Návrh!I744,-3)/$X$2</f>
        <v>78</v>
      </c>
      <c r="I747" s="99">
        <f>+ROUND(Návrh!J744,-3)/$X$2</f>
        <v>0</v>
      </c>
      <c r="J747" s="99" t="e">
        <f>+ROUND(Návrh!#REF!,-3)/$X$2</f>
        <v>#REF!</v>
      </c>
      <c r="K747" s="99">
        <f>+ROUND(Návrh!K744,-3)/$X$2</f>
        <v>941</v>
      </c>
      <c r="L747" s="99">
        <f>+ROUND(Návrh!L744,-3)/$X$2</f>
        <v>0</v>
      </c>
      <c r="M747" s="67"/>
    </row>
    <row r="748" spans="1:13" x14ac:dyDescent="0.25">
      <c r="A748" s="42" t="s">
        <v>1564</v>
      </c>
      <c r="B748" s="14"/>
      <c r="C748" s="13"/>
      <c r="D748" s="13"/>
      <c r="E748" s="373" t="s">
        <v>802</v>
      </c>
      <c r="F748" s="374"/>
      <c r="G748" s="88">
        <f>+ROUND(Návrh!H745,-3)/$X$2</f>
        <v>62</v>
      </c>
      <c r="H748" s="88">
        <f>+ROUND(Návrh!I745,-3)/$X$2</f>
        <v>78</v>
      </c>
      <c r="I748" s="88">
        <f>+ROUND(Návrh!J745,-3)/$X$2</f>
        <v>0</v>
      </c>
      <c r="J748" s="88" t="e">
        <f>+ROUND(Návrh!#REF!,-3)/$X$2</f>
        <v>#REF!</v>
      </c>
      <c r="K748" s="88">
        <f>+ROUND(Návrh!K745,-3)/$X$2</f>
        <v>941</v>
      </c>
      <c r="L748" s="88">
        <f>+ROUND(Návrh!L745,-3)/$X$2</f>
        <v>0</v>
      </c>
      <c r="M748" s="67"/>
    </row>
    <row r="749" spans="1:13" x14ac:dyDescent="0.25">
      <c r="A749" s="55" t="s">
        <v>1565</v>
      </c>
      <c r="B749" s="55"/>
      <c r="C749" s="53"/>
      <c r="D749" s="53"/>
      <c r="E749" s="381" t="s">
        <v>803</v>
      </c>
      <c r="F749" s="382"/>
      <c r="G749" s="99">
        <f>+ROUND(Návrh!H746,-3)/$X$2</f>
        <v>10666</v>
      </c>
      <c r="H749" s="99">
        <f>+ROUND(Návrh!I746,-3)/$X$2</f>
        <v>6957</v>
      </c>
      <c r="I749" s="99">
        <f>+ROUND(Návrh!J746,-3)/$X$2</f>
        <v>1000</v>
      </c>
      <c r="J749" s="99" t="e">
        <f>+ROUND(Návrh!#REF!,-3)/$X$2</f>
        <v>#REF!</v>
      </c>
      <c r="K749" s="99">
        <f>+ROUND(Návrh!K746,-3)/$X$2</f>
        <v>6555</v>
      </c>
      <c r="L749" s="99">
        <f>+ROUND(Návrh!L746,-3)/$X$2</f>
        <v>17109</v>
      </c>
      <c r="M749" s="67"/>
    </row>
    <row r="750" spans="1:13" x14ac:dyDescent="0.25">
      <c r="A750" s="42" t="s">
        <v>1566</v>
      </c>
      <c r="B750" s="14"/>
      <c r="C750" s="13"/>
      <c r="D750" s="13"/>
      <c r="E750" s="373" t="s">
        <v>804</v>
      </c>
      <c r="F750" s="374"/>
      <c r="G750" s="88">
        <f>+ROUND(Návrh!H747,-3)/$X$2</f>
        <v>1</v>
      </c>
      <c r="H750" s="88">
        <f>+ROUND(Návrh!I747,-3)/$X$2</f>
        <v>0</v>
      </c>
      <c r="I750" s="88">
        <f>+ROUND(Návrh!J747,-3)/$X$2</f>
        <v>0</v>
      </c>
      <c r="J750" s="88" t="e">
        <f>+ROUND(Návrh!#REF!,-3)/$X$2</f>
        <v>#REF!</v>
      </c>
      <c r="K750" s="88">
        <f>+ROUND(Návrh!K747,-3)/$X$2</f>
        <v>3</v>
      </c>
      <c r="L750" s="88">
        <f>+ROUND(Návrh!L747,-3)/$X$2</f>
        <v>0</v>
      </c>
      <c r="M750" s="67"/>
    </row>
    <row r="751" spans="1:13" x14ac:dyDescent="0.25">
      <c r="A751" s="42" t="s">
        <v>1567</v>
      </c>
      <c r="B751" s="27" t="s">
        <v>916</v>
      </c>
      <c r="C751" s="28" t="s">
        <v>920</v>
      </c>
      <c r="D751" s="28" t="s">
        <v>917</v>
      </c>
      <c r="E751" s="373" t="s">
        <v>805</v>
      </c>
      <c r="F751" s="374"/>
      <c r="G751" s="88">
        <f>+ROUND(Návrh!H748,-3)/$X$2</f>
        <v>672</v>
      </c>
      <c r="H751" s="88">
        <f>+ROUND(Návrh!I748,-3)/$X$2</f>
        <v>1616</v>
      </c>
      <c r="I751" s="88">
        <f>+ROUND(Návrh!J748,-3)/$X$2</f>
        <v>0</v>
      </c>
      <c r="J751" s="88" t="e">
        <f>+ROUND(Návrh!#REF!,-3)/$X$2</f>
        <v>#REF!</v>
      </c>
      <c r="K751" s="88">
        <f>+ROUND(Návrh!K748,-3)/$X$2</f>
        <v>1030</v>
      </c>
      <c r="L751" s="88">
        <f>+ROUND(Návrh!L748,-3)/$X$2</f>
        <v>5000</v>
      </c>
      <c r="M751" s="67"/>
    </row>
    <row r="752" spans="1:13" x14ac:dyDescent="0.25">
      <c r="A752" s="42" t="s">
        <v>1568</v>
      </c>
      <c r="B752" s="27" t="s">
        <v>916</v>
      </c>
      <c r="C752" s="28" t="s">
        <v>923</v>
      </c>
      <c r="D752" s="28" t="s">
        <v>1633</v>
      </c>
      <c r="E752" s="373" t="s">
        <v>806</v>
      </c>
      <c r="F752" s="374"/>
      <c r="G752" s="88">
        <f>+ROUND(Návrh!H749,-3)/$X$2</f>
        <v>0</v>
      </c>
      <c r="H752" s="88">
        <f>+ROUND(Návrh!I749,-3)/$X$2</f>
        <v>85</v>
      </c>
      <c r="I752" s="88">
        <f>+ROUND(Návrh!J749,-3)/$X$2</f>
        <v>0</v>
      </c>
      <c r="J752" s="88" t="e">
        <f>+ROUND(Návrh!#REF!,-3)/$X$2</f>
        <v>#REF!</v>
      </c>
      <c r="K752" s="88">
        <f>+ROUND(Návrh!K749,-3)/$X$2</f>
        <v>160</v>
      </c>
      <c r="L752" s="88">
        <f>+ROUND(Návrh!L749,-3)/$X$2</f>
        <v>11192</v>
      </c>
      <c r="M752" s="67"/>
    </row>
    <row r="753" spans="1:13" x14ac:dyDescent="0.25">
      <c r="A753" s="42" t="s">
        <v>1569</v>
      </c>
      <c r="B753" s="14"/>
      <c r="C753" s="13"/>
      <c r="D753" s="13"/>
      <c r="E753" s="373" t="s">
        <v>807</v>
      </c>
      <c r="F753" s="374"/>
      <c r="G753" s="88">
        <f>+ROUND(Návrh!H750,-3)/$X$2</f>
        <v>807</v>
      </c>
      <c r="H753" s="88">
        <f>+ROUND(Návrh!I750,-3)/$X$2</f>
        <v>3110</v>
      </c>
      <c r="I753" s="88">
        <f>+ROUND(Návrh!J750,-3)/$X$2</f>
        <v>0</v>
      </c>
      <c r="J753" s="88" t="e">
        <f>+ROUND(Návrh!#REF!,-3)/$X$2</f>
        <v>#REF!</v>
      </c>
      <c r="K753" s="88">
        <f>+ROUND(Návrh!K750,-3)/$X$2</f>
        <v>3884</v>
      </c>
      <c r="L753" s="88">
        <f>+ROUND(Návrh!L750,-3)/$X$2</f>
        <v>0</v>
      </c>
      <c r="M753" s="67"/>
    </row>
    <row r="754" spans="1:13" x14ac:dyDescent="0.25">
      <c r="A754" s="42" t="s">
        <v>1570</v>
      </c>
      <c r="B754" s="14"/>
      <c r="C754" s="13"/>
      <c r="D754" s="13"/>
      <c r="E754" s="373" t="s">
        <v>808</v>
      </c>
      <c r="F754" s="374"/>
      <c r="G754" s="88">
        <f>+ROUND(Návrh!H751,-3)/$X$2</f>
        <v>915</v>
      </c>
      <c r="H754" s="88">
        <f>+ROUND(Návrh!I751,-3)/$X$2</f>
        <v>956</v>
      </c>
      <c r="I754" s="88">
        <f>+ROUND(Návrh!J751,-3)/$X$2</f>
        <v>0</v>
      </c>
      <c r="J754" s="88" t="e">
        <f>+ROUND(Návrh!#REF!,-3)/$X$2</f>
        <v>#REF!</v>
      </c>
      <c r="K754" s="88">
        <f>+ROUND(Návrh!K751,-3)/$X$2</f>
        <v>647</v>
      </c>
      <c r="L754" s="88">
        <f>+ROUND(Návrh!L751,-3)/$X$2</f>
        <v>0</v>
      </c>
      <c r="M754" s="67"/>
    </row>
    <row r="755" spans="1:13" x14ac:dyDescent="0.25">
      <c r="A755" s="42" t="s">
        <v>1571</v>
      </c>
      <c r="B755" s="27" t="s">
        <v>916</v>
      </c>
      <c r="C755" s="28" t="s">
        <v>919</v>
      </c>
      <c r="D755" s="28" t="s">
        <v>917</v>
      </c>
      <c r="E755" s="373" t="s">
        <v>809</v>
      </c>
      <c r="F755" s="374"/>
      <c r="G755" s="88">
        <f>+ROUND(Návrh!H752,-3)/$X$2</f>
        <v>993</v>
      </c>
      <c r="H755" s="88">
        <f>+ROUND(Návrh!I752,-3)/$X$2</f>
        <v>1095</v>
      </c>
      <c r="I755" s="88">
        <f>+ROUND(Návrh!J752,-3)/$X$2</f>
        <v>1000</v>
      </c>
      <c r="J755" s="88" t="e">
        <f>+ROUND(Návrh!#REF!,-3)/$X$2</f>
        <v>#REF!</v>
      </c>
      <c r="K755" s="88">
        <f>+ROUND(Návrh!K752,-3)/$X$2</f>
        <v>830</v>
      </c>
      <c r="L755" s="88">
        <f>+ROUND(Návrh!L752,-3)/$X$2</f>
        <v>917</v>
      </c>
      <c r="M755" s="67"/>
    </row>
    <row r="756" spans="1:13" x14ac:dyDescent="0.25">
      <c r="A756" s="42" t="s">
        <v>1572</v>
      </c>
      <c r="B756" s="14"/>
      <c r="C756" s="13"/>
      <c r="D756" s="13"/>
      <c r="E756" s="373" t="s">
        <v>810</v>
      </c>
      <c r="F756" s="374"/>
      <c r="G756" s="88">
        <f>+ROUND(Návrh!H753,-3)/$X$2</f>
        <v>5804</v>
      </c>
      <c r="H756" s="88">
        <f>+ROUND(Návrh!I753,-3)/$X$2</f>
        <v>0</v>
      </c>
      <c r="I756" s="88">
        <f>+ROUND(Návrh!J753,-3)/$X$2</f>
        <v>0</v>
      </c>
      <c r="J756" s="88" t="e">
        <f>+ROUND(Návrh!#REF!,-3)/$X$2</f>
        <v>#REF!</v>
      </c>
      <c r="K756" s="88">
        <f>+ROUND(Návrh!K753,-3)/$X$2</f>
        <v>0</v>
      </c>
      <c r="L756" s="88">
        <f>+ROUND(Návrh!L753,-3)/$X$2</f>
        <v>0</v>
      </c>
      <c r="M756" s="67"/>
    </row>
    <row r="757" spans="1:13" x14ac:dyDescent="0.25">
      <c r="A757" s="42" t="s">
        <v>1573</v>
      </c>
      <c r="B757" s="14"/>
      <c r="C757" s="13"/>
      <c r="D757" s="13"/>
      <c r="E757" s="373" t="s">
        <v>811</v>
      </c>
      <c r="F757" s="374"/>
      <c r="G757" s="88">
        <f>+ROUND(Návrh!H754,-3)/$X$2</f>
        <v>1474</v>
      </c>
      <c r="H757" s="88">
        <f>+ROUND(Návrh!I754,-3)/$X$2</f>
        <v>94</v>
      </c>
      <c r="I757" s="88">
        <f>+ROUND(Návrh!J754,-3)/$X$2</f>
        <v>0</v>
      </c>
      <c r="J757" s="88" t="e">
        <f>+ROUND(Návrh!#REF!,-3)/$X$2</f>
        <v>#REF!</v>
      </c>
      <c r="K757" s="88">
        <f>+ROUND(Návrh!K754,-3)/$X$2</f>
        <v>0</v>
      </c>
      <c r="L757" s="88">
        <f>+ROUND(Návrh!L754,-3)/$X$2</f>
        <v>0</v>
      </c>
      <c r="M757" s="67"/>
    </row>
    <row r="758" spans="1:13" x14ac:dyDescent="0.25">
      <c r="A758" s="55" t="s">
        <v>1574</v>
      </c>
      <c r="B758" s="55"/>
      <c r="C758" s="53"/>
      <c r="D758" s="53"/>
      <c r="E758" s="381" t="s">
        <v>812</v>
      </c>
      <c r="F758" s="382"/>
      <c r="G758" s="99">
        <f>+ROUND(Návrh!H755,-3)/$X$2</f>
        <v>0</v>
      </c>
      <c r="H758" s="99">
        <f>+ROUND(Návrh!I755,-3)/$X$2</f>
        <v>191106</v>
      </c>
      <c r="I758" s="99">
        <f>+ROUND(Návrh!J755,-3)/$X$2</f>
        <v>170500</v>
      </c>
      <c r="J758" s="99" t="e">
        <f>+ROUND(Návrh!#REF!,-3)/$X$2</f>
        <v>#REF!</v>
      </c>
      <c r="K758" s="99">
        <f>+ROUND(Návrh!K755,-3)/$X$2</f>
        <v>167348</v>
      </c>
      <c r="L758" s="99">
        <f>+ROUND(Návrh!L755,-3)/$X$2</f>
        <v>130500</v>
      </c>
      <c r="M758" s="67"/>
    </row>
    <row r="759" spans="1:13" x14ac:dyDescent="0.25">
      <c r="A759" s="42" t="s">
        <v>1575</v>
      </c>
      <c r="B759" s="28" t="s">
        <v>922</v>
      </c>
      <c r="C759" s="28" t="s">
        <v>923</v>
      </c>
      <c r="D759" s="28" t="s">
        <v>1631</v>
      </c>
      <c r="E759" s="373" t="s">
        <v>813</v>
      </c>
      <c r="F759" s="374"/>
      <c r="G759" s="88">
        <f>+ROUND(Návrh!H756,-3)/$X$2</f>
        <v>0</v>
      </c>
      <c r="H759" s="88">
        <f>+ROUND(Návrh!I756,-3)/$X$2</f>
        <v>72262</v>
      </c>
      <c r="I759" s="88">
        <f>+ROUND(Návrh!J756,-3)/$X$2</f>
        <v>75000</v>
      </c>
      <c r="J759" s="88" t="e">
        <f>+ROUND(Návrh!#REF!,-3)/$X$2</f>
        <v>#REF!</v>
      </c>
      <c r="K759" s="88">
        <f>+ROUND(Návrh!K756,-3)/$X$2</f>
        <v>42295</v>
      </c>
      <c r="L759" s="88">
        <f>+ROUND(Návrh!L756,-3)/$X$2</f>
        <v>50000</v>
      </c>
      <c r="M759" s="67"/>
    </row>
    <row r="760" spans="1:13" x14ac:dyDescent="0.25">
      <c r="A760" s="42" t="s">
        <v>1576</v>
      </c>
      <c r="B760" s="28" t="s">
        <v>922</v>
      </c>
      <c r="C760" s="28" t="s">
        <v>920</v>
      </c>
      <c r="D760" s="28" t="s">
        <v>1433</v>
      </c>
      <c r="E760" s="373" t="s">
        <v>814</v>
      </c>
      <c r="F760" s="374"/>
      <c r="G760" s="88">
        <f>+ROUND(Návrh!H757,-3)/$X$2</f>
        <v>0</v>
      </c>
      <c r="H760" s="88">
        <f>+ROUND(Návrh!I757,-3)/$X$2</f>
        <v>85054</v>
      </c>
      <c r="I760" s="88">
        <f>+ROUND(Návrh!J757,-3)/$X$2</f>
        <v>70000</v>
      </c>
      <c r="J760" s="88" t="e">
        <f>+ROUND(Návrh!#REF!,-3)/$X$2</f>
        <v>#REF!</v>
      </c>
      <c r="K760" s="88">
        <f>+ROUND(Návrh!K757,-3)/$X$2</f>
        <v>98123</v>
      </c>
      <c r="L760" s="88">
        <f>+ROUND(Návrh!L757,-3)/$X$2</f>
        <v>60000</v>
      </c>
      <c r="M760" s="67"/>
    </row>
    <row r="761" spans="1:13" x14ac:dyDescent="0.25">
      <c r="A761" s="42" t="s">
        <v>1577</v>
      </c>
      <c r="B761" s="20" t="s">
        <v>922</v>
      </c>
      <c r="C761" s="20" t="s">
        <v>923</v>
      </c>
      <c r="D761" s="20" t="s">
        <v>1631</v>
      </c>
      <c r="E761" s="373" t="s">
        <v>815</v>
      </c>
      <c r="F761" s="374"/>
      <c r="G761" s="88" t="e">
        <f>+ROUND(Návrh!#REF!,-3)/$X$2</f>
        <v>#REF!</v>
      </c>
      <c r="H761" s="88" t="e">
        <f>+ROUND(Návrh!#REF!,-3)/$X$2</f>
        <v>#REF!</v>
      </c>
      <c r="I761" s="88" t="e">
        <f>+ROUND(Návrh!#REF!,-3)/$X$2</f>
        <v>#REF!</v>
      </c>
      <c r="J761" s="88" t="e">
        <f>+ROUND(Návrh!#REF!,-3)/$X$2</f>
        <v>#REF!</v>
      </c>
      <c r="K761" s="88" t="e">
        <f>+ROUND(Návrh!#REF!,-3)/$X$2</f>
        <v>#REF!</v>
      </c>
      <c r="L761" s="88" t="e">
        <f>+ROUND(Návrh!#REF!,-3)/$X$2</f>
        <v>#REF!</v>
      </c>
      <c r="M761" s="67"/>
    </row>
    <row r="762" spans="1:13" x14ac:dyDescent="0.25">
      <c r="A762" s="42" t="s">
        <v>1578</v>
      </c>
      <c r="B762" s="20" t="s">
        <v>922</v>
      </c>
      <c r="C762" s="20" t="s">
        <v>923</v>
      </c>
      <c r="D762" s="20" t="s">
        <v>917</v>
      </c>
      <c r="E762" s="373" t="s">
        <v>816</v>
      </c>
      <c r="F762" s="374"/>
      <c r="G762" s="88">
        <f>+ROUND(Návrh!H759,-3)/$X$2</f>
        <v>0</v>
      </c>
      <c r="H762" s="88">
        <f>+ROUND(Návrh!I759,-3)/$X$2</f>
        <v>955</v>
      </c>
      <c r="I762" s="88">
        <f>+ROUND(Návrh!J759,-3)/$X$2</f>
        <v>500</v>
      </c>
      <c r="J762" s="88" t="e">
        <f>+ROUND(Návrh!#REF!,-3)/$X$2</f>
        <v>#REF!</v>
      </c>
      <c r="K762" s="88">
        <f>+ROUND(Návrh!K759,-3)/$X$2</f>
        <v>389</v>
      </c>
      <c r="L762" s="88">
        <f>+ROUND(Návrh!L759,-3)/$X$2</f>
        <v>500</v>
      </c>
      <c r="M762" s="67"/>
    </row>
    <row r="763" spans="1:13" x14ac:dyDescent="0.25">
      <c r="A763" s="55" t="s">
        <v>1579</v>
      </c>
      <c r="B763" s="55"/>
      <c r="C763" s="53"/>
      <c r="D763" s="53"/>
      <c r="E763" s="381" t="s">
        <v>817</v>
      </c>
      <c r="F763" s="382"/>
      <c r="G763" s="99">
        <f>+ROUND(Návrh!H760,-3)/$X$2</f>
        <v>97851</v>
      </c>
      <c r="H763" s="99">
        <f>+ROUND(Návrh!I760,-3)/$X$2</f>
        <v>106530</v>
      </c>
      <c r="I763" s="99">
        <f>+ROUND(Návrh!J760,-3)/$X$2</f>
        <v>109277</v>
      </c>
      <c r="J763" s="99" t="e">
        <f>+ROUND(Návrh!#REF!,-3)/$X$2</f>
        <v>#REF!</v>
      </c>
      <c r="K763" s="99">
        <f>+ROUND(Návrh!K760,-3)/$X$2</f>
        <v>132078</v>
      </c>
      <c r="L763" s="99">
        <f>+ROUND(Návrh!L760,-3)/$X$2</f>
        <v>120893</v>
      </c>
      <c r="M763" s="67"/>
    </row>
    <row r="764" spans="1:13" x14ac:dyDescent="0.25">
      <c r="A764" s="42" t="s">
        <v>1580</v>
      </c>
      <c r="B764" s="27" t="s">
        <v>922</v>
      </c>
      <c r="C764" s="28" t="s">
        <v>923</v>
      </c>
      <c r="D764" s="28" t="s">
        <v>1249</v>
      </c>
      <c r="E764" s="373" t="s">
        <v>818</v>
      </c>
      <c r="F764" s="374"/>
      <c r="G764" s="88">
        <f>+ROUND(Návrh!H761,-3)/$X$2</f>
        <v>293</v>
      </c>
      <c r="H764" s="88">
        <f>+ROUND(Návrh!I761,-3)/$X$2</f>
        <v>277</v>
      </c>
      <c r="I764" s="88">
        <f>+ROUND(Návrh!J761,-3)/$X$2</f>
        <v>207</v>
      </c>
      <c r="J764" s="88" t="e">
        <f>+ROUND(Návrh!#REF!,-3)/$X$2</f>
        <v>#REF!</v>
      </c>
      <c r="K764" s="88">
        <f>+ROUND(Návrh!K761,-3)/$X$2</f>
        <v>234</v>
      </c>
      <c r="L764" s="88">
        <f>+ROUND(Návrh!L761,-3)/$X$2</f>
        <v>230</v>
      </c>
      <c r="M764" s="67"/>
    </row>
    <row r="765" spans="1:13" x14ac:dyDescent="0.25">
      <c r="A765" s="42" t="s">
        <v>1581</v>
      </c>
      <c r="B765" s="27" t="s">
        <v>916</v>
      </c>
      <c r="C765" s="28" t="s">
        <v>920</v>
      </c>
      <c r="D765" s="28" t="s">
        <v>917</v>
      </c>
      <c r="E765" s="373" t="s">
        <v>819</v>
      </c>
      <c r="F765" s="374"/>
      <c r="G765" s="88">
        <f>+ROUND(Návrh!H762,-3)/$X$2</f>
        <v>19</v>
      </c>
      <c r="H765" s="88">
        <f>+ROUND(Návrh!I762,-3)/$X$2</f>
        <v>3</v>
      </c>
      <c r="I765" s="88">
        <f>+ROUND(Návrh!J762,-3)/$X$2</f>
        <v>0</v>
      </c>
      <c r="J765" s="88" t="e">
        <f>+ROUND(Návrh!#REF!,-3)/$X$2</f>
        <v>#REF!</v>
      </c>
      <c r="K765" s="88">
        <f>+ROUND(Návrh!K762,-3)/$X$2</f>
        <v>2</v>
      </c>
      <c r="L765" s="88">
        <f>+ROUND(Návrh!L762,-3)/$X$2</f>
        <v>0</v>
      </c>
      <c r="M765" s="67"/>
    </row>
    <row r="766" spans="1:13" x14ac:dyDescent="0.25">
      <c r="A766" s="42" t="s">
        <v>1582</v>
      </c>
      <c r="B766" s="27" t="s">
        <v>922</v>
      </c>
      <c r="C766" s="28" t="s">
        <v>923</v>
      </c>
      <c r="D766" s="28" t="s">
        <v>1249</v>
      </c>
      <c r="E766" s="373" t="s">
        <v>820</v>
      </c>
      <c r="F766" s="374"/>
      <c r="G766" s="88">
        <f>+ROUND(Návrh!H763,-3)/$X$2</f>
        <v>6507</v>
      </c>
      <c r="H766" s="88">
        <f>+ROUND(Návrh!I763,-3)/$X$2</f>
        <v>5990</v>
      </c>
      <c r="I766" s="88">
        <f>+ROUND(Návrh!J763,-3)/$X$2</f>
        <v>6300</v>
      </c>
      <c r="J766" s="88" t="e">
        <f>+ROUND(Návrh!#REF!,-3)/$X$2</f>
        <v>#REF!</v>
      </c>
      <c r="K766" s="88">
        <f>+ROUND(Návrh!K763,-3)/$X$2</f>
        <v>6445</v>
      </c>
      <c r="L766" s="88">
        <f>+ROUND(Návrh!L763,-3)/$X$2</f>
        <v>6300</v>
      </c>
      <c r="M766" s="67"/>
    </row>
    <row r="767" spans="1:13" x14ac:dyDescent="0.25">
      <c r="A767" s="42" t="s">
        <v>1583</v>
      </c>
      <c r="B767" s="27" t="s">
        <v>916</v>
      </c>
      <c r="C767" s="20" t="s">
        <v>919</v>
      </c>
      <c r="D767" s="28" t="s">
        <v>917</v>
      </c>
      <c r="E767" s="373" t="s">
        <v>821</v>
      </c>
      <c r="F767" s="374"/>
      <c r="G767" s="88">
        <f>+ROUND(Návrh!H764,-3)/$X$2</f>
        <v>11982</v>
      </c>
      <c r="H767" s="88">
        <f>+ROUND(Návrh!I764,-3)/$X$2</f>
        <v>11263</v>
      </c>
      <c r="I767" s="88">
        <f>+ROUND(Návrh!J764,-3)/$X$2</f>
        <v>11500</v>
      </c>
      <c r="J767" s="88" t="e">
        <f>+ROUND(Návrh!#REF!,-3)/$X$2</f>
        <v>#REF!</v>
      </c>
      <c r="K767" s="88">
        <f>+ROUND(Návrh!K764,-3)/$X$2</f>
        <v>11788</v>
      </c>
      <c r="L767" s="88">
        <f>+ROUND(Návrh!L764,-3)/$X$2</f>
        <v>11850</v>
      </c>
      <c r="M767" s="67"/>
    </row>
    <row r="768" spans="1:13" x14ac:dyDescent="0.25">
      <c r="A768" s="42" t="s">
        <v>1584</v>
      </c>
      <c r="B768" s="27" t="s">
        <v>916</v>
      </c>
      <c r="C768" s="20" t="s">
        <v>919</v>
      </c>
      <c r="D768" s="28" t="s">
        <v>917</v>
      </c>
      <c r="E768" s="373" t="s">
        <v>822</v>
      </c>
      <c r="F768" s="374"/>
      <c r="G768" s="88">
        <f>+ROUND(Návrh!H765,-3)/$X$2</f>
        <v>1894</v>
      </c>
      <c r="H768" s="88">
        <f>+ROUND(Návrh!I765,-3)/$X$2</f>
        <v>2121</v>
      </c>
      <c r="I768" s="88">
        <f>+ROUND(Návrh!J765,-3)/$X$2</f>
        <v>1800</v>
      </c>
      <c r="J768" s="88" t="e">
        <f>+ROUND(Návrh!#REF!,-3)/$X$2</f>
        <v>#REF!</v>
      </c>
      <c r="K768" s="88">
        <f>+ROUND(Návrh!K765,-3)/$X$2</f>
        <v>1681</v>
      </c>
      <c r="L768" s="88">
        <f>+ROUND(Návrh!L765,-3)/$X$2</f>
        <v>1760</v>
      </c>
      <c r="M768" s="67"/>
    </row>
    <row r="769" spans="1:13" x14ac:dyDescent="0.25">
      <c r="A769" s="42" t="s">
        <v>1585</v>
      </c>
      <c r="B769" s="27" t="s">
        <v>916</v>
      </c>
      <c r="C769" s="28" t="s">
        <v>923</v>
      </c>
      <c r="D769" s="28" t="s">
        <v>917</v>
      </c>
      <c r="E769" s="373" t="s">
        <v>823</v>
      </c>
      <c r="F769" s="374"/>
      <c r="G769" s="88">
        <f>+ROUND(Návrh!H766,-3)/$X$2</f>
        <v>271</v>
      </c>
      <c r="H769" s="88">
        <f>+ROUND(Návrh!I766,-3)/$X$2</f>
        <v>202</v>
      </c>
      <c r="I769" s="88">
        <f>+ROUND(Návrh!J766,-3)/$X$2</f>
        <v>300</v>
      </c>
      <c r="J769" s="88" t="e">
        <f>+ROUND(Návrh!#REF!,-3)/$X$2</f>
        <v>#REF!</v>
      </c>
      <c r="K769" s="88">
        <f>+ROUND(Návrh!K766,-3)/$X$2</f>
        <v>145</v>
      </c>
      <c r="L769" s="88">
        <f>+ROUND(Návrh!L766,-3)/$X$2</f>
        <v>170</v>
      </c>
      <c r="M769" s="67"/>
    </row>
    <row r="770" spans="1:13" x14ac:dyDescent="0.25">
      <c r="A770" s="42" t="s">
        <v>1586</v>
      </c>
      <c r="B770" s="27" t="s">
        <v>916</v>
      </c>
      <c r="C770" s="28" t="s">
        <v>923</v>
      </c>
      <c r="D770" s="28" t="s">
        <v>1633</v>
      </c>
      <c r="E770" s="373" t="s">
        <v>824</v>
      </c>
      <c r="F770" s="374"/>
      <c r="G770" s="88">
        <f>+ROUND(Návrh!H767,-3)/$X$2</f>
        <v>2580</v>
      </c>
      <c r="H770" s="88">
        <f>+ROUND(Návrh!I767,-3)/$X$2</f>
        <v>2860</v>
      </c>
      <c r="I770" s="88">
        <f>+ROUND(Návrh!J767,-3)/$X$2</f>
        <v>2700</v>
      </c>
      <c r="J770" s="88" t="e">
        <f>+ROUND(Návrh!#REF!,-3)/$X$2</f>
        <v>#REF!</v>
      </c>
      <c r="K770" s="88">
        <f>+ROUND(Návrh!K767,-3)/$X$2</f>
        <v>2335</v>
      </c>
      <c r="L770" s="88">
        <f>+ROUND(Návrh!L767,-3)/$X$2</f>
        <v>2300</v>
      </c>
      <c r="M770" s="67"/>
    </row>
    <row r="771" spans="1:13" x14ac:dyDescent="0.25">
      <c r="A771" s="42" t="s">
        <v>1587</v>
      </c>
      <c r="B771" s="27" t="s">
        <v>916</v>
      </c>
      <c r="C771" s="28" t="s">
        <v>923</v>
      </c>
      <c r="D771" s="28" t="s">
        <v>1633</v>
      </c>
      <c r="E771" s="373" t="s">
        <v>825</v>
      </c>
      <c r="F771" s="374"/>
      <c r="G771" s="88">
        <f>+ROUND(Návrh!H768,-3)/$X$2</f>
        <v>33352</v>
      </c>
      <c r="H771" s="88">
        <f>+ROUND(Návrh!I768,-3)/$X$2</f>
        <v>39182</v>
      </c>
      <c r="I771" s="88">
        <f>+ROUND(Návrh!J768,-3)/$X$2</f>
        <v>35000</v>
      </c>
      <c r="J771" s="88" t="e">
        <f>+ROUND(Návrh!#REF!,-3)/$X$2</f>
        <v>#REF!</v>
      </c>
      <c r="K771" s="88">
        <f>+ROUND(Návrh!K768,-3)/$X$2</f>
        <v>50457</v>
      </c>
      <c r="L771" s="88">
        <f>+ROUND(Návrh!L768,-3)/$X$2</f>
        <v>44960</v>
      </c>
      <c r="M771" s="67"/>
    </row>
    <row r="772" spans="1:13" x14ac:dyDescent="0.25">
      <c r="A772" s="42" t="s">
        <v>1588</v>
      </c>
      <c r="B772" s="27" t="s">
        <v>916</v>
      </c>
      <c r="C772" s="28" t="s">
        <v>923</v>
      </c>
      <c r="D772" s="28" t="s">
        <v>1633</v>
      </c>
      <c r="E772" s="373" t="s">
        <v>826</v>
      </c>
      <c r="F772" s="374"/>
      <c r="G772" s="88">
        <f>+ROUND(Návrh!H769,-3)/$X$2</f>
        <v>11404</v>
      </c>
      <c r="H772" s="88">
        <f>+ROUND(Návrh!I769,-3)/$X$2</f>
        <v>10310</v>
      </c>
      <c r="I772" s="88">
        <f>+ROUND(Návrh!J769,-3)/$X$2</f>
        <v>10500</v>
      </c>
      <c r="J772" s="88" t="e">
        <f>+ROUND(Návrh!#REF!,-3)/$X$2</f>
        <v>#REF!</v>
      </c>
      <c r="K772" s="88">
        <f>+ROUND(Návrh!K769,-3)/$X$2</f>
        <v>10316</v>
      </c>
      <c r="L772" s="88">
        <f>+ROUND(Návrh!L769,-3)/$X$2</f>
        <v>10900</v>
      </c>
      <c r="M772" s="67"/>
    </row>
    <row r="773" spans="1:13" x14ac:dyDescent="0.25">
      <c r="A773" s="42" t="s">
        <v>1589</v>
      </c>
      <c r="B773" s="27" t="s">
        <v>916</v>
      </c>
      <c r="C773" s="28" t="s">
        <v>923</v>
      </c>
      <c r="D773" s="28" t="s">
        <v>1633</v>
      </c>
      <c r="E773" s="373" t="s">
        <v>827</v>
      </c>
      <c r="F773" s="374"/>
      <c r="G773" s="88">
        <f>+ROUND(Návrh!H770,-3)/$X$2</f>
        <v>4580</v>
      </c>
      <c r="H773" s="88">
        <f>+ROUND(Návrh!I770,-3)/$X$2</f>
        <v>5647</v>
      </c>
      <c r="I773" s="88">
        <f>+ROUND(Návrh!J770,-3)/$X$2</f>
        <v>6300</v>
      </c>
      <c r="J773" s="88" t="e">
        <f>+ROUND(Návrh!#REF!,-3)/$X$2</f>
        <v>#REF!</v>
      </c>
      <c r="K773" s="88">
        <f>+ROUND(Návrh!K770,-3)/$X$2</f>
        <v>9737</v>
      </c>
      <c r="L773" s="88">
        <f>+ROUND(Návrh!L770,-3)/$X$2</f>
        <v>8000</v>
      </c>
      <c r="M773" s="67"/>
    </row>
    <row r="774" spans="1:13" x14ac:dyDescent="0.25">
      <c r="A774" s="42" t="s">
        <v>1590</v>
      </c>
      <c r="B774" s="20" t="s">
        <v>1654</v>
      </c>
      <c r="C774" s="20" t="s">
        <v>919</v>
      </c>
      <c r="D774" s="20" t="s">
        <v>1655</v>
      </c>
      <c r="E774" s="373" t="s">
        <v>828</v>
      </c>
      <c r="F774" s="374"/>
      <c r="G774" s="88">
        <f>+ROUND(Návrh!H771,-3)/$X$2</f>
        <v>24</v>
      </c>
      <c r="H774" s="88">
        <f>+ROUND(Návrh!I771,-3)/$X$2</f>
        <v>29</v>
      </c>
      <c r="I774" s="88">
        <f>+ROUND(Návrh!J771,-3)/$X$2</f>
        <v>40</v>
      </c>
      <c r="J774" s="88" t="e">
        <f>+ROUND(Návrh!#REF!,-3)/$X$2</f>
        <v>#REF!</v>
      </c>
      <c r="K774" s="88">
        <f>+ROUND(Návrh!K771,-3)/$X$2</f>
        <v>33</v>
      </c>
      <c r="L774" s="88">
        <f>+ROUND(Návrh!L771,-3)/$X$2</f>
        <v>20</v>
      </c>
      <c r="M774" s="67"/>
    </row>
    <row r="775" spans="1:13" x14ac:dyDescent="0.25">
      <c r="A775" s="42" t="s">
        <v>1591</v>
      </c>
      <c r="B775" s="27" t="s">
        <v>916</v>
      </c>
      <c r="C775" s="28" t="s">
        <v>923</v>
      </c>
      <c r="D775" s="28" t="s">
        <v>917</v>
      </c>
      <c r="E775" s="373" t="s">
        <v>829</v>
      </c>
      <c r="F775" s="374"/>
      <c r="G775" s="88">
        <f>+ROUND(Návrh!H772,-3)/$X$2</f>
        <v>1214</v>
      </c>
      <c r="H775" s="88">
        <f>+ROUND(Návrh!I772,-3)/$X$2</f>
        <v>1434</v>
      </c>
      <c r="I775" s="88">
        <f>+ROUND(Návrh!J772,-3)/$X$2</f>
        <v>1200</v>
      </c>
      <c r="J775" s="88" t="e">
        <f>+ROUND(Návrh!#REF!,-3)/$X$2</f>
        <v>#REF!</v>
      </c>
      <c r="K775" s="88">
        <f>+ROUND(Návrh!K772,-3)/$X$2</f>
        <v>1382</v>
      </c>
      <c r="L775" s="88">
        <f>+ROUND(Návrh!L772,-3)/$X$2</f>
        <v>1400</v>
      </c>
      <c r="M775" s="67"/>
    </row>
    <row r="776" spans="1:13" x14ac:dyDescent="0.25">
      <c r="A776" s="42" t="s">
        <v>1592</v>
      </c>
      <c r="B776" s="27" t="s">
        <v>916</v>
      </c>
      <c r="C776" s="20" t="s">
        <v>919</v>
      </c>
      <c r="D776" s="28" t="s">
        <v>917</v>
      </c>
      <c r="E776" s="373" t="s">
        <v>830</v>
      </c>
      <c r="F776" s="374"/>
      <c r="G776" s="88">
        <f>+ROUND(Návrh!H773,-3)/$X$2</f>
        <v>6014</v>
      </c>
      <c r="H776" s="88">
        <f>+ROUND(Návrh!I773,-3)/$X$2</f>
        <v>6808</v>
      </c>
      <c r="I776" s="88">
        <f>+ROUND(Návrh!J773,-3)/$X$2</f>
        <v>7000</v>
      </c>
      <c r="J776" s="88" t="e">
        <f>+ROUND(Návrh!#REF!,-3)/$X$2</f>
        <v>#REF!</v>
      </c>
      <c r="K776" s="88">
        <f>+ROUND(Návrh!K773,-3)/$X$2</f>
        <v>8316</v>
      </c>
      <c r="L776" s="88">
        <f>+ROUND(Návrh!L773,-3)/$X$2</f>
        <v>8020</v>
      </c>
      <c r="M776" s="67"/>
    </row>
    <row r="777" spans="1:13" x14ac:dyDescent="0.25">
      <c r="A777" s="42" t="s">
        <v>1593</v>
      </c>
      <c r="B777" s="27" t="s">
        <v>916</v>
      </c>
      <c r="C777" s="20" t="s">
        <v>919</v>
      </c>
      <c r="D777" s="28" t="s">
        <v>917</v>
      </c>
      <c r="E777" s="373" t="s">
        <v>831</v>
      </c>
      <c r="F777" s="374"/>
      <c r="G777" s="88">
        <f>+ROUND(Návrh!H774,-3)/$X$2</f>
        <v>454</v>
      </c>
      <c r="H777" s="88">
        <f>+ROUND(Návrh!I774,-3)/$X$2</f>
        <v>1141</v>
      </c>
      <c r="I777" s="88">
        <f>+ROUND(Návrh!J774,-3)/$X$2</f>
        <v>1800</v>
      </c>
      <c r="J777" s="88" t="e">
        <f>+ROUND(Návrh!#REF!,-3)/$X$2</f>
        <v>#REF!</v>
      </c>
      <c r="K777" s="88">
        <f>+ROUND(Návrh!K774,-3)/$X$2</f>
        <v>1174</v>
      </c>
      <c r="L777" s="88">
        <f>+ROUND(Návrh!L774,-3)/$X$2</f>
        <v>1100</v>
      </c>
      <c r="M777" s="67"/>
    </row>
    <row r="778" spans="1:13" x14ac:dyDescent="0.25">
      <c r="A778" s="42" t="s">
        <v>1594</v>
      </c>
      <c r="B778" s="27" t="s">
        <v>916</v>
      </c>
      <c r="C778" s="28" t="s">
        <v>923</v>
      </c>
      <c r="D778" s="28" t="s">
        <v>917</v>
      </c>
      <c r="E778" s="373" t="s">
        <v>832</v>
      </c>
      <c r="F778" s="374"/>
      <c r="G778" s="88">
        <f>+ROUND(Návrh!H775,-3)/$X$2</f>
        <v>66</v>
      </c>
      <c r="H778" s="88">
        <f>+ROUND(Návrh!I775,-3)/$X$2</f>
        <v>441</v>
      </c>
      <c r="I778" s="88">
        <f>+ROUND(Návrh!J775,-3)/$X$2</f>
        <v>570</v>
      </c>
      <c r="J778" s="88" t="e">
        <f>+ROUND(Návrh!#REF!,-3)/$X$2</f>
        <v>#REF!</v>
      </c>
      <c r="K778" s="88">
        <f>+ROUND(Návrh!K775,-3)/$X$2</f>
        <v>449</v>
      </c>
      <c r="L778" s="88">
        <f>+ROUND(Návrh!L775,-3)/$X$2</f>
        <v>550</v>
      </c>
      <c r="M778" s="67"/>
    </row>
    <row r="779" spans="1:13" x14ac:dyDescent="0.25">
      <c r="A779" s="42" t="s">
        <v>1595</v>
      </c>
      <c r="B779" s="27" t="s">
        <v>916</v>
      </c>
      <c r="C779" s="20" t="s">
        <v>919</v>
      </c>
      <c r="D779" s="28" t="s">
        <v>917</v>
      </c>
      <c r="E779" s="373" t="s">
        <v>833</v>
      </c>
      <c r="F779" s="374"/>
      <c r="G779" s="88">
        <f>+ROUND(Návrh!H776,-3)/$X$2</f>
        <v>8742</v>
      </c>
      <c r="H779" s="88">
        <f>+ROUND(Návrh!I776,-3)/$X$2</f>
        <v>3159</v>
      </c>
      <c r="I779" s="88">
        <f>+ROUND(Návrh!J776,-3)/$X$2</f>
        <v>2500</v>
      </c>
      <c r="J779" s="88" t="e">
        <f>+ROUND(Návrh!#REF!,-3)/$X$2</f>
        <v>#REF!</v>
      </c>
      <c r="K779" s="88">
        <f>+ROUND(Návrh!K776,-3)/$X$2</f>
        <v>17668</v>
      </c>
      <c r="L779" s="88">
        <f>+ROUND(Návrh!L776,-3)/$X$2</f>
        <v>3000</v>
      </c>
      <c r="M779" s="67"/>
    </row>
    <row r="780" spans="1:13" x14ac:dyDescent="0.25">
      <c r="A780" s="42" t="s">
        <v>1596</v>
      </c>
      <c r="B780" s="27" t="s">
        <v>916</v>
      </c>
      <c r="C780" s="28" t="s">
        <v>920</v>
      </c>
      <c r="D780" s="28" t="s">
        <v>917</v>
      </c>
      <c r="E780" s="373" t="s">
        <v>834</v>
      </c>
      <c r="F780" s="374"/>
      <c r="G780" s="88">
        <f>+ROUND(Návrh!H777,-3)/$X$2</f>
        <v>11</v>
      </c>
      <c r="H780" s="88">
        <f>+ROUND(Návrh!I777,-3)/$X$2</f>
        <v>5</v>
      </c>
      <c r="I780" s="88">
        <f>+ROUND(Návrh!J777,-3)/$X$2</f>
        <v>10</v>
      </c>
      <c r="J780" s="88" t="e">
        <f>+ROUND(Návrh!#REF!,-3)/$X$2</f>
        <v>#REF!</v>
      </c>
      <c r="K780" s="88">
        <f>+ROUND(Návrh!K777,-3)/$X$2</f>
        <v>4</v>
      </c>
      <c r="L780" s="88">
        <f>+ROUND(Návrh!L777,-3)/$X$2</f>
        <v>0</v>
      </c>
      <c r="M780" s="67"/>
    </row>
    <row r="781" spans="1:13" x14ac:dyDescent="0.25">
      <c r="A781" s="42" t="s">
        <v>1597</v>
      </c>
      <c r="B781" s="27" t="s">
        <v>916</v>
      </c>
      <c r="C781" s="20" t="s">
        <v>919</v>
      </c>
      <c r="D781" s="28" t="s">
        <v>917</v>
      </c>
      <c r="E781" s="373" t="s">
        <v>835</v>
      </c>
      <c r="F781" s="374"/>
      <c r="G781" s="88">
        <f>+ROUND(Návrh!H778,-3)/$X$2</f>
        <v>110</v>
      </c>
      <c r="H781" s="88">
        <f>+ROUND(Návrh!I778,-3)/$X$2</f>
        <v>186</v>
      </c>
      <c r="I781" s="88">
        <f>+ROUND(Návrh!J778,-3)/$X$2</f>
        <v>270</v>
      </c>
      <c r="J781" s="88" t="e">
        <f>+ROUND(Návrh!#REF!,-3)/$X$2</f>
        <v>#REF!</v>
      </c>
      <c r="K781" s="88">
        <f>+ROUND(Návrh!K778,-3)/$X$2</f>
        <v>217</v>
      </c>
      <c r="L781" s="88">
        <f>+ROUND(Návrh!L778,-3)/$X$2</f>
        <v>230</v>
      </c>
      <c r="M781" s="67"/>
    </row>
    <row r="782" spans="1:13" x14ac:dyDescent="0.25">
      <c r="A782" s="42" t="s">
        <v>1598</v>
      </c>
      <c r="B782" s="20" t="s">
        <v>1243</v>
      </c>
      <c r="C782" s="20" t="s">
        <v>920</v>
      </c>
      <c r="D782" s="20" t="s">
        <v>1245</v>
      </c>
      <c r="E782" s="373" t="s">
        <v>836</v>
      </c>
      <c r="F782" s="374"/>
      <c r="G782" s="88">
        <f>+ROUND(Návrh!H779,-3)/$X$2</f>
        <v>3429</v>
      </c>
      <c r="H782" s="88">
        <f>+ROUND(Návrh!I779,-3)/$X$2</f>
        <v>4688</v>
      </c>
      <c r="I782" s="88">
        <f>+ROUND(Návrh!J779,-3)/$X$2</f>
        <v>4000</v>
      </c>
      <c r="J782" s="88" t="e">
        <f>+ROUND(Návrh!#REF!,-3)/$X$2</f>
        <v>#REF!</v>
      </c>
      <c r="K782" s="88">
        <f>+ROUND(Návrh!K779,-3)/$X$2</f>
        <v>5561</v>
      </c>
      <c r="L782" s="88">
        <f>+ROUND(Návrh!L779,-3)/$X$2</f>
        <v>4400</v>
      </c>
      <c r="M782" s="67"/>
    </row>
    <row r="783" spans="1:13" x14ac:dyDescent="0.25">
      <c r="A783" s="42" t="s">
        <v>1599</v>
      </c>
      <c r="B783" s="27" t="s">
        <v>916</v>
      </c>
      <c r="C783" s="28" t="s">
        <v>923</v>
      </c>
      <c r="D783" s="28" t="s">
        <v>917</v>
      </c>
      <c r="E783" s="373" t="s">
        <v>837</v>
      </c>
      <c r="F783" s="374"/>
      <c r="G783" s="88">
        <f>+ROUND(Návrh!H780,-3)/$X$2</f>
        <v>186</v>
      </c>
      <c r="H783" s="88">
        <f>+ROUND(Návrh!I780,-3)/$X$2</f>
        <v>121</v>
      </c>
      <c r="I783" s="88">
        <f>+ROUND(Návrh!J780,-3)/$X$2</f>
        <v>200</v>
      </c>
      <c r="J783" s="88" t="e">
        <f>+ROUND(Návrh!#REF!,-3)/$X$2</f>
        <v>#REF!</v>
      </c>
      <c r="K783" s="88">
        <f>+ROUND(Návrh!K780,-3)/$X$2</f>
        <v>136</v>
      </c>
      <c r="L783" s="88">
        <f>+ROUND(Návrh!L780,-3)/$X$2</f>
        <v>130</v>
      </c>
      <c r="M783" s="67"/>
    </row>
    <row r="784" spans="1:13" x14ac:dyDescent="0.25">
      <c r="A784" s="42" t="s">
        <v>1632</v>
      </c>
      <c r="B784" s="27" t="s">
        <v>916</v>
      </c>
      <c r="C784" s="20" t="s">
        <v>919</v>
      </c>
      <c r="D784" s="28" t="s">
        <v>917</v>
      </c>
      <c r="E784" s="373" t="s">
        <v>838</v>
      </c>
      <c r="F784" s="374"/>
      <c r="G784" s="88">
        <f>+ROUND(Návrh!H781,-3)/$X$2</f>
        <v>3111</v>
      </c>
      <c r="H784" s="88">
        <f>+ROUND(Návrh!I781,-3)/$X$2</f>
        <v>3394</v>
      </c>
      <c r="I784" s="88">
        <f>+ROUND(Návrh!J781,-3)/$X$2</f>
        <v>3300</v>
      </c>
      <c r="J784" s="88" t="e">
        <f>+ROUND(Návrh!#REF!,-3)/$X$2</f>
        <v>#REF!</v>
      </c>
      <c r="K784" s="88">
        <f>+ROUND(Návrh!K781,-3)/$X$2</f>
        <v>3684</v>
      </c>
      <c r="L784" s="88">
        <f>+ROUND(Návrh!L781,-3)/$X$2</f>
        <v>3786</v>
      </c>
      <c r="M784" s="67"/>
    </row>
    <row r="785" spans="1:13" x14ac:dyDescent="0.25">
      <c r="A785" s="42" t="s">
        <v>1600</v>
      </c>
      <c r="B785" s="27" t="s">
        <v>916</v>
      </c>
      <c r="C785" s="20" t="s">
        <v>919</v>
      </c>
      <c r="D785" s="28" t="s">
        <v>917</v>
      </c>
      <c r="E785" s="373" t="s">
        <v>839</v>
      </c>
      <c r="F785" s="374"/>
      <c r="G785" s="88">
        <f>+ROUND(Návrh!H782,-3)/$X$2</f>
        <v>1581</v>
      </c>
      <c r="H785" s="88">
        <f>+ROUND(Návrh!I782,-3)/$X$2</f>
        <v>1269</v>
      </c>
      <c r="I785" s="88">
        <f>+ROUND(Návrh!J782,-3)/$X$2</f>
        <v>2000</v>
      </c>
      <c r="J785" s="88" t="e">
        <f>+ROUND(Návrh!#REF!,-3)/$X$2</f>
        <v>#REF!</v>
      </c>
      <c r="K785" s="88">
        <f>+ROUND(Návrh!K782,-3)/$X$2</f>
        <v>317</v>
      </c>
      <c r="L785" s="88">
        <f>+ROUND(Návrh!L782,-3)/$X$2</f>
        <v>7</v>
      </c>
      <c r="M785" s="67"/>
    </row>
    <row r="786" spans="1:13" x14ac:dyDescent="0.25">
      <c r="A786" s="42" t="s">
        <v>1601</v>
      </c>
      <c r="B786" s="27" t="s">
        <v>916</v>
      </c>
      <c r="C786" s="20" t="s">
        <v>923</v>
      </c>
      <c r="D786" s="34" t="s">
        <v>917</v>
      </c>
      <c r="E786" s="373" t="s">
        <v>1683</v>
      </c>
      <c r="F786" s="374"/>
      <c r="G786" s="88">
        <f>+ROUND(Návrh!H783,-3)/$X$2</f>
        <v>28</v>
      </c>
      <c r="H786" s="88">
        <f>+ROUND(Návrh!I783,-3)/$X$2</f>
        <v>5998</v>
      </c>
      <c r="I786" s="88">
        <f>+ROUND(Návrh!J783,-3)/$X$2</f>
        <v>11780</v>
      </c>
      <c r="J786" s="88" t="e">
        <f>+ROUND(Návrh!#REF!,-3)/$X$2</f>
        <v>#REF!</v>
      </c>
      <c r="K786" s="88">
        <f>+ROUND(Návrh!K783,-3)/$X$2</f>
        <v>0</v>
      </c>
      <c r="L786" s="88">
        <f>+ROUND(Návrh!L783,-3)/$X$2</f>
        <v>11780</v>
      </c>
      <c r="M786" s="67"/>
    </row>
    <row r="787" spans="1:13" x14ac:dyDescent="0.25">
      <c r="A787" s="42" t="s">
        <v>1602</v>
      </c>
      <c r="B787" s="27"/>
      <c r="C787" s="28"/>
      <c r="D787" s="28"/>
      <c r="E787" s="373" t="s">
        <v>840</v>
      </c>
      <c r="F787" s="374"/>
      <c r="G787" s="88">
        <f>+ROUND(Návrh!H784,-3)/$X$2</f>
        <v>0</v>
      </c>
      <c r="H787" s="88">
        <f>+ROUND(Návrh!I784,-3)/$X$2</f>
        <v>0</v>
      </c>
      <c r="I787" s="88">
        <f>+ROUND(Návrh!J784,-3)/$X$2</f>
        <v>0</v>
      </c>
      <c r="J787" s="88" t="e">
        <f>+ROUND(Návrh!#REF!,-3)/$X$2</f>
        <v>#REF!</v>
      </c>
      <c r="K787" s="88">
        <f>+ROUND(Návrh!K784,-3)/$X$2</f>
        <v>0</v>
      </c>
      <c r="L787" s="88">
        <f>+ROUND(Návrh!L784,-3)/$X$2</f>
        <v>0</v>
      </c>
      <c r="M787" s="67"/>
    </row>
    <row r="788" spans="1:13" x14ac:dyDescent="0.25">
      <c r="A788" s="55" t="s">
        <v>1603</v>
      </c>
      <c r="B788" s="55"/>
      <c r="C788" s="53"/>
      <c r="D788" s="53"/>
      <c r="E788" s="381" t="s">
        <v>841</v>
      </c>
      <c r="F788" s="382"/>
      <c r="G788" s="99">
        <f>+ROUND(Návrh!H785,-3)/$X$2</f>
        <v>3969</v>
      </c>
      <c r="H788" s="99">
        <f>+ROUND(Návrh!I785,-3)/$X$2</f>
        <v>5333</v>
      </c>
      <c r="I788" s="99">
        <f>+ROUND(Návrh!J785,-3)/$X$2</f>
        <v>5865</v>
      </c>
      <c r="J788" s="99" t="e">
        <f>+ROUND(Návrh!#REF!,-3)/$X$2</f>
        <v>#REF!</v>
      </c>
      <c r="K788" s="99">
        <f>+ROUND(Návrh!K785,-3)/$X$2</f>
        <v>5412</v>
      </c>
      <c r="L788" s="99">
        <f>+ROUND(Návrh!L785,-3)/$X$2</f>
        <v>5855</v>
      </c>
      <c r="M788" s="67"/>
    </row>
    <row r="789" spans="1:13" x14ac:dyDescent="0.25">
      <c r="A789" s="42" t="s">
        <v>1604</v>
      </c>
      <c r="B789" s="20" t="s">
        <v>916</v>
      </c>
      <c r="C789" s="20" t="s">
        <v>919</v>
      </c>
      <c r="D789" s="20" t="s">
        <v>1089</v>
      </c>
      <c r="E789" s="373" t="s">
        <v>842</v>
      </c>
      <c r="F789" s="374"/>
      <c r="G789" s="88">
        <f>+ROUND(Návrh!H786,-3)/$X$2</f>
        <v>144</v>
      </c>
      <c r="H789" s="88">
        <f>+ROUND(Návrh!I786,-3)/$X$2</f>
        <v>103</v>
      </c>
      <c r="I789" s="88">
        <f>+ROUND(Návrh!J786,-3)/$X$2</f>
        <v>105</v>
      </c>
      <c r="J789" s="88" t="e">
        <f>+ROUND(Návrh!#REF!,-3)/$X$2</f>
        <v>#REF!</v>
      </c>
      <c r="K789" s="88">
        <f>+ROUND(Návrh!K786,-3)/$X$2</f>
        <v>152</v>
      </c>
      <c r="L789" s="88">
        <f>+ROUND(Návrh!L786,-3)/$X$2</f>
        <v>105</v>
      </c>
      <c r="M789" s="67"/>
    </row>
    <row r="790" spans="1:13" x14ac:dyDescent="0.25">
      <c r="A790" s="42" t="s">
        <v>1605</v>
      </c>
      <c r="B790" s="20" t="s">
        <v>916</v>
      </c>
      <c r="C790" s="20" t="s">
        <v>919</v>
      </c>
      <c r="D790" s="20" t="s">
        <v>1089</v>
      </c>
      <c r="E790" s="373" t="s">
        <v>843</v>
      </c>
      <c r="F790" s="374"/>
      <c r="G790" s="88">
        <f>+ROUND(Návrh!H787,-3)/$X$2</f>
        <v>1773</v>
      </c>
      <c r="H790" s="88">
        <f>+ROUND(Návrh!I787,-3)/$X$2</f>
        <v>1751</v>
      </c>
      <c r="I790" s="88">
        <f>+ROUND(Návrh!J787,-3)/$X$2</f>
        <v>1950</v>
      </c>
      <c r="J790" s="88" t="e">
        <f>+ROUND(Návrh!#REF!,-3)/$X$2</f>
        <v>#REF!</v>
      </c>
      <c r="K790" s="88">
        <f>+ROUND(Návrh!K787,-3)/$X$2</f>
        <v>2017</v>
      </c>
      <c r="L790" s="88">
        <f>+ROUND(Návrh!L787,-3)/$X$2</f>
        <v>1950</v>
      </c>
      <c r="M790" s="67"/>
    </row>
    <row r="791" spans="1:13" x14ac:dyDescent="0.25">
      <c r="A791" s="42" t="s">
        <v>1606</v>
      </c>
      <c r="B791" s="20" t="s">
        <v>916</v>
      </c>
      <c r="C791" s="20" t="s">
        <v>919</v>
      </c>
      <c r="D791" s="20" t="s">
        <v>1089</v>
      </c>
      <c r="E791" s="373" t="s">
        <v>844</v>
      </c>
      <c r="F791" s="374"/>
      <c r="G791" s="88">
        <f>+ROUND(Návrh!H788,-3)/$X$2</f>
        <v>1185</v>
      </c>
      <c r="H791" s="88">
        <f>+ROUND(Návrh!I788,-3)/$X$2</f>
        <v>1536</v>
      </c>
      <c r="I791" s="88">
        <f>+ROUND(Návrh!J788,-3)/$X$2</f>
        <v>1800</v>
      </c>
      <c r="J791" s="88" t="e">
        <f>+ROUND(Návrh!#REF!,-3)/$X$2</f>
        <v>#REF!</v>
      </c>
      <c r="K791" s="88">
        <f>+ROUND(Návrh!K788,-3)/$X$2</f>
        <v>1168</v>
      </c>
      <c r="L791" s="88">
        <f>+ROUND(Návrh!L788,-3)/$X$2</f>
        <v>1500</v>
      </c>
      <c r="M791" s="67"/>
    </row>
    <row r="792" spans="1:13" x14ac:dyDescent="0.25">
      <c r="A792" s="42" t="s">
        <v>1607</v>
      </c>
      <c r="B792" s="20" t="s">
        <v>916</v>
      </c>
      <c r="C792" s="20" t="s">
        <v>919</v>
      </c>
      <c r="D792" s="20" t="s">
        <v>1649</v>
      </c>
      <c r="E792" s="373" t="s">
        <v>845</v>
      </c>
      <c r="F792" s="374"/>
      <c r="G792" s="88">
        <f>+ROUND(Návrh!H789,-3)/$X$2</f>
        <v>663</v>
      </c>
      <c r="H792" s="88">
        <f>+ROUND(Návrh!I789,-3)/$X$2</f>
        <v>894</v>
      </c>
      <c r="I792" s="88">
        <f>+ROUND(Návrh!J789,-3)/$X$2</f>
        <v>990</v>
      </c>
      <c r="J792" s="88" t="e">
        <f>+ROUND(Návrh!#REF!,-3)/$X$2</f>
        <v>#REF!</v>
      </c>
      <c r="K792" s="88">
        <f>+ROUND(Návrh!K789,-3)/$X$2</f>
        <v>814</v>
      </c>
      <c r="L792" s="88">
        <f>+ROUND(Návrh!L789,-3)/$X$2</f>
        <v>990</v>
      </c>
      <c r="M792" s="67"/>
    </row>
    <row r="793" spans="1:13" x14ac:dyDescent="0.25">
      <c r="A793" s="42" t="s">
        <v>1608</v>
      </c>
      <c r="B793" s="28" t="s">
        <v>916</v>
      </c>
      <c r="C793" s="20" t="s">
        <v>919</v>
      </c>
      <c r="D793" s="28" t="s">
        <v>1089</v>
      </c>
      <c r="E793" s="373" t="s">
        <v>846</v>
      </c>
      <c r="F793" s="374"/>
      <c r="G793" s="88">
        <f>+ROUND(Návrh!H790,-3)/$X$2</f>
        <v>192</v>
      </c>
      <c r="H793" s="88">
        <f>+ROUND(Návrh!I790,-3)/$X$2</f>
        <v>206</v>
      </c>
      <c r="I793" s="88">
        <f>+ROUND(Návrh!J790,-3)/$X$2</f>
        <v>200</v>
      </c>
      <c r="J793" s="88" t="e">
        <f>+ROUND(Návrh!#REF!,-3)/$X$2</f>
        <v>#REF!</v>
      </c>
      <c r="K793" s="88">
        <f>+ROUND(Návrh!K790,-3)/$X$2</f>
        <v>178</v>
      </c>
      <c r="L793" s="88">
        <f>+ROUND(Návrh!L790,-3)/$X$2</f>
        <v>200</v>
      </c>
      <c r="M793" s="67"/>
    </row>
    <row r="794" spans="1:13" x14ac:dyDescent="0.25">
      <c r="A794" s="42" t="s">
        <v>1609</v>
      </c>
      <c r="B794" s="28" t="s">
        <v>916</v>
      </c>
      <c r="C794" s="20" t="s">
        <v>919</v>
      </c>
      <c r="D794" s="28" t="s">
        <v>917</v>
      </c>
      <c r="E794" s="373" t="s">
        <v>847</v>
      </c>
      <c r="F794" s="374"/>
      <c r="G794" s="88">
        <f>+ROUND(Návrh!H791,-3)/$X$2</f>
        <v>13</v>
      </c>
      <c r="H794" s="88">
        <f>+ROUND(Návrh!I791,-3)/$X$2</f>
        <v>843</v>
      </c>
      <c r="I794" s="88">
        <f>+ROUND(Návrh!J791,-3)/$X$2</f>
        <v>820</v>
      </c>
      <c r="J794" s="88" t="e">
        <f>+ROUND(Návrh!#REF!,-3)/$X$2</f>
        <v>#REF!</v>
      </c>
      <c r="K794" s="88">
        <f>+ROUND(Návrh!K791,-3)/$X$2</f>
        <v>1082</v>
      </c>
      <c r="L794" s="88">
        <f>+ROUND(Návrh!L791,-3)/$X$2</f>
        <v>1110</v>
      </c>
      <c r="M794" s="67"/>
    </row>
    <row r="795" spans="1:13" x14ac:dyDescent="0.25">
      <c r="A795" s="55" t="s">
        <v>1610</v>
      </c>
      <c r="B795" s="55"/>
      <c r="C795" s="53"/>
      <c r="D795" s="53"/>
      <c r="E795" s="381" t="s">
        <v>848</v>
      </c>
      <c r="F795" s="382"/>
      <c r="G795" s="99">
        <f>+ROUND(Návrh!H792,-3)/$X$2</f>
        <v>918</v>
      </c>
      <c r="H795" s="99">
        <f>+ROUND(Návrh!I792,-3)/$X$2</f>
        <v>1544</v>
      </c>
      <c r="I795" s="99">
        <f>+ROUND(Návrh!J792,-3)/$X$2</f>
        <v>1000</v>
      </c>
      <c r="J795" s="99" t="e">
        <f>+ROUND(Návrh!#REF!,-3)/$X$2</f>
        <v>#REF!</v>
      </c>
      <c r="K795" s="99">
        <f>+ROUND(Návrh!K792,-3)/$X$2</f>
        <v>2506</v>
      </c>
      <c r="L795" s="99">
        <f>+ROUND(Návrh!L792,-3)/$X$2</f>
        <v>1500</v>
      </c>
      <c r="M795" s="67"/>
    </row>
    <row r="796" spans="1:13" x14ac:dyDescent="0.25">
      <c r="A796" s="42" t="s">
        <v>1611</v>
      </c>
      <c r="B796" s="27" t="s">
        <v>916</v>
      </c>
      <c r="C796" s="28" t="s">
        <v>920</v>
      </c>
      <c r="D796" s="28" t="s">
        <v>917</v>
      </c>
      <c r="E796" s="373" t="s">
        <v>150</v>
      </c>
      <c r="F796" s="374"/>
      <c r="G796" s="88">
        <f>+ROUND(Návrh!H793,-3)/$X$2</f>
        <v>918</v>
      </c>
      <c r="H796" s="88">
        <f>+ROUND(Návrh!I793,-3)/$X$2</f>
        <v>1544</v>
      </c>
      <c r="I796" s="88">
        <f>+ROUND(Návrh!J793,-3)/$X$2</f>
        <v>1000</v>
      </c>
      <c r="J796" s="88" t="e">
        <f>+ROUND(Návrh!#REF!,-3)/$X$2</f>
        <v>#REF!</v>
      </c>
      <c r="K796" s="88">
        <f>+ROUND(Návrh!K793,-3)/$X$2</f>
        <v>2506</v>
      </c>
      <c r="L796" s="88">
        <f>+ROUND(Návrh!L793,-3)/$X$2</f>
        <v>1500</v>
      </c>
      <c r="M796" s="67"/>
    </row>
    <row r="797" spans="1:13" x14ac:dyDescent="0.25">
      <c r="A797" s="58" t="s">
        <v>849</v>
      </c>
      <c r="B797" s="58"/>
      <c r="C797" s="59"/>
      <c r="D797" s="59"/>
      <c r="E797" s="397" t="s">
        <v>850</v>
      </c>
      <c r="F797" s="398"/>
      <c r="G797" s="97">
        <f>+ROUND(Návrh!H794,-3)/$X$2</f>
        <v>0</v>
      </c>
      <c r="H797" s="97">
        <f>+ROUND(Návrh!I794,-3)/$X$2</f>
        <v>0</v>
      </c>
      <c r="I797" s="97">
        <f>+ROUND(Návrh!J794,-3)/$X$2</f>
        <v>0</v>
      </c>
      <c r="J797" s="97" t="e">
        <f>+ROUND(Návrh!#REF!,-3)/$X$2</f>
        <v>#REF!</v>
      </c>
      <c r="K797" s="97">
        <f>+ROUND(Návrh!K794,-3)/$X$2</f>
        <v>0</v>
      </c>
      <c r="L797" s="97">
        <f>+ROUND(Návrh!L794,-3)/$X$2</f>
        <v>0</v>
      </c>
      <c r="M797" s="67"/>
    </row>
    <row r="798" spans="1:13" x14ac:dyDescent="0.25">
      <c r="A798" s="51" t="s">
        <v>851</v>
      </c>
      <c r="B798" s="51"/>
      <c r="C798" s="49"/>
      <c r="D798" s="49"/>
      <c r="E798" s="395" t="s">
        <v>852</v>
      </c>
      <c r="F798" s="396"/>
      <c r="G798" s="98">
        <f>+ROUND(Návrh!H795,-3)/$X$2</f>
        <v>0</v>
      </c>
      <c r="H798" s="98">
        <f>+ROUND(Návrh!I795,-3)/$X$2</f>
        <v>0</v>
      </c>
      <c r="I798" s="98">
        <f>+ROUND(Návrh!J795,-3)/$X$2</f>
        <v>0</v>
      </c>
      <c r="J798" s="98" t="e">
        <f>+ROUND(Návrh!#REF!,-3)/$X$2</f>
        <v>#REF!</v>
      </c>
      <c r="K798" s="98">
        <f>+ROUND(Návrh!K795,-3)/$X$2</f>
        <v>0</v>
      </c>
      <c r="L798" s="98">
        <f>+ROUND(Návrh!L795,-3)/$X$2</f>
        <v>0</v>
      </c>
      <c r="M798" s="67"/>
    </row>
    <row r="799" spans="1:13" x14ac:dyDescent="0.25">
      <c r="A799" s="51" t="s">
        <v>853</v>
      </c>
      <c r="B799" s="51"/>
      <c r="C799" s="49"/>
      <c r="D799" s="49"/>
      <c r="E799" s="395" t="s">
        <v>854</v>
      </c>
      <c r="F799" s="396"/>
      <c r="G799" s="98">
        <f>+ROUND(Návrh!H796,-3)/$X$2</f>
        <v>0</v>
      </c>
      <c r="H799" s="98">
        <f>+ROUND(Návrh!I796,-3)/$X$2</f>
        <v>0</v>
      </c>
      <c r="I799" s="98">
        <f>+ROUND(Návrh!J796,-3)/$X$2</f>
        <v>0</v>
      </c>
      <c r="J799" s="98" t="e">
        <f>+ROUND(Návrh!#REF!,-3)/$X$2</f>
        <v>#REF!</v>
      </c>
      <c r="K799" s="98">
        <f>+ROUND(Návrh!K796,-3)/$X$2</f>
        <v>0</v>
      </c>
      <c r="L799" s="98">
        <f>+ROUND(Návrh!L796,-3)/$X$2</f>
        <v>0</v>
      </c>
      <c r="M799" s="67"/>
    </row>
    <row r="800" spans="1:13" x14ac:dyDescent="0.25">
      <c r="A800" s="58" t="s">
        <v>855</v>
      </c>
      <c r="B800" s="58"/>
      <c r="C800" s="59"/>
      <c r="D800" s="59"/>
      <c r="E800" s="397" t="s">
        <v>856</v>
      </c>
      <c r="F800" s="398"/>
      <c r="G800" s="97">
        <f>+ROUND(Návrh!H797,-3)/$X$2</f>
        <v>241</v>
      </c>
      <c r="H800" s="97">
        <f>+ROUND(Návrh!I797,-3)/$X$2</f>
        <v>144</v>
      </c>
      <c r="I800" s="97">
        <f>+ROUND(Návrh!J797,-3)/$X$2</f>
        <v>0</v>
      </c>
      <c r="J800" s="97" t="e">
        <f>+ROUND(Návrh!#REF!,-3)/$X$2</f>
        <v>#REF!</v>
      </c>
      <c r="K800" s="97">
        <f>+ROUND(Návrh!K797,-3)/$X$2</f>
        <v>88</v>
      </c>
      <c r="L800" s="97">
        <f>+ROUND(Návrh!L797,-3)/$X$2</f>
        <v>80</v>
      </c>
      <c r="M800" s="67"/>
    </row>
    <row r="801" spans="1:13" x14ac:dyDescent="0.25">
      <c r="A801" s="51" t="s">
        <v>857</v>
      </c>
      <c r="B801" s="51"/>
      <c r="C801" s="49"/>
      <c r="D801" s="49"/>
      <c r="E801" s="395" t="s">
        <v>858</v>
      </c>
      <c r="F801" s="396"/>
      <c r="G801" s="98">
        <f>+ROUND(Návrh!H798,-3)/$X$2</f>
        <v>0</v>
      </c>
      <c r="H801" s="98">
        <f>+ROUND(Návrh!I798,-3)/$X$2</f>
        <v>0</v>
      </c>
      <c r="I801" s="98">
        <f>+ROUND(Návrh!J798,-3)/$X$2</f>
        <v>0</v>
      </c>
      <c r="J801" s="98" t="e">
        <f>+ROUND(Návrh!#REF!,-3)/$X$2</f>
        <v>#REF!</v>
      </c>
      <c r="K801" s="98">
        <f>+ROUND(Návrh!K798,-3)/$X$2</f>
        <v>0</v>
      </c>
      <c r="L801" s="98">
        <f>+ROUND(Návrh!L798,-3)/$X$2</f>
        <v>0</v>
      </c>
      <c r="M801" s="67"/>
    </row>
    <row r="802" spans="1:13" x14ac:dyDescent="0.25">
      <c r="A802" s="51" t="s">
        <v>859</v>
      </c>
      <c r="B802" s="51"/>
      <c r="C802" s="49"/>
      <c r="D802" s="49"/>
      <c r="E802" s="395" t="s">
        <v>595</v>
      </c>
      <c r="F802" s="396"/>
      <c r="G802" s="98">
        <f>+ROUND(Návrh!H799,-3)/$X$2</f>
        <v>27</v>
      </c>
      <c r="H802" s="98">
        <f>+ROUND(Návrh!I799,-3)/$X$2</f>
        <v>0</v>
      </c>
      <c r="I802" s="98">
        <f>+ROUND(Návrh!J799,-3)/$X$2</f>
        <v>0</v>
      </c>
      <c r="J802" s="98" t="e">
        <f>+ROUND(Návrh!#REF!,-3)/$X$2</f>
        <v>#REF!</v>
      </c>
      <c r="K802" s="98">
        <f>+ROUND(Návrh!K799,-3)/$X$2</f>
        <v>1</v>
      </c>
      <c r="L802" s="98">
        <f>+ROUND(Návrh!L799,-3)/$X$2</f>
        <v>0</v>
      </c>
      <c r="M802" s="67"/>
    </row>
    <row r="803" spans="1:13" x14ac:dyDescent="0.25">
      <c r="A803" s="55" t="s">
        <v>1612</v>
      </c>
      <c r="B803" s="55"/>
      <c r="C803" s="53"/>
      <c r="D803" s="53"/>
      <c r="E803" s="381" t="s">
        <v>860</v>
      </c>
      <c r="F803" s="382"/>
      <c r="G803" s="99">
        <f>+ROUND(Návrh!H800,-3)/$X$2</f>
        <v>27</v>
      </c>
      <c r="H803" s="99">
        <f>+ROUND(Návrh!I800,-3)/$X$2</f>
        <v>0</v>
      </c>
      <c r="I803" s="99">
        <f>+ROUND(Návrh!J800,-3)/$X$2</f>
        <v>0</v>
      </c>
      <c r="J803" s="99" t="e">
        <f>+ROUND(Návrh!#REF!,-3)/$X$2</f>
        <v>#REF!</v>
      </c>
      <c r="K803" s="99">
        <f>+ROUND(Návrh!K800,-3)/$X$2</f>
        <v>1</v>
      </c>
      <c r="L803" s="99">
        <f>+ROUND(Návrh!L800,-3)/$X$2</f>
        <v>0</v>
      </c>
      <c r="M803" s="67"/>
    </row>
    <row r="804" spans="1:13" x14ac:dyDescent="0.25">
      <c r="A804" s="42" t="s">
        <v>1613</v>
      </c>
      <c r="B804" s="27" t="s">
        <v>916</v>
      </c>
      <c r="C804" s="28" t="s">
        <v>923</v>
      </c>
      <c r="D804" s="28" t="s">
        <v>1643</v>
      </c>
      <c r="E804" s="373" t="s">
        <v>861</v>
      </c>
      <c r="F804" s="374"/>
      <c r="G804" s="88">
        <f>+ROUND(Návrh!H801,-3)/$X$2</f>
        <v>27</v>
      </c>
      <c r="H804" s="88">
        <f>+ROUND(Návrh!I801,-3)/$X$2</f>
        <v>0</v>
      </c>
      <c r="I804" s="88">
        <f>+ROUND(Návrh!J801,-3)/$X$2</f>
        <v>0</v>
      </c>
      <c r="J804" s="88" t="e">
        <f>+ROUND(Návrh!#REF!,-3)/$X$2</f>
        <v>#REF!</v>
      </c>
      <c r="K804" s="88">
        <f>+ROUND(Návrh!K801,-3)/$X$2</f>
        <v>1</v>
      </c>
      <c r="L804" s="88">
        <f>+ROUND(Návrh!L801,-3)/$X$2</f>
        <v>0</v>
      </c>
      <c r="M804" s="67"/>
    </row>
    <row r="805" spans="1:13" x14ac:dyDescent="0.25">
      <c r="A805" s="51" t="s">
        <v>862</v>
      </c>
      <c r="B805" s="51"/>
      <c r="C805" s="49"/>
      <c r="D805" s="49"/>
      <c r="E805" s="395" t="s">
        <v>863</v>
      </c>
      <c r="F805" s="396"/>
      <c r="G805" s="98">
        <f>+ROUND(Návrh!H802,-3)/$X$2</f>
        <v>187</v>
      </c>
      <c r="H805" s="98">
        <f>+ROUND(Návrh!I802,-3)/$X$2</f>
        <v>79</v>
      </c>
      <c r="I805" s="98">
        <f>+ROUND(Návrh!J802,-3)/$X$2</f>
        <v>0</v>
      </c>
      <c r="J805" s="98" t="e">
        <f>+ROUND(Návrh!#REF!,-3)/$X$2</f>
        <v>#REF!</v>
      </c>
      <c r="K805" s="98">
        <f>+ROUND(Návrh!K802,-3)/$X$2</f>
        <v>87</v>
      </c>
      <c r="L805" s="98">
        <f>+ROUND(Návrh!L802,-3)/$X$2</f>
        <v>80</v>
      </c>
      <c r="M805" s="67"/>
    </row>
    <row r="806" spans="1:13" x14ac:dyDescent="0.25">
      <c r="A806" s="55" t="s">
        <v>1614</v>
      </c>
      <c r="B806" s="55"/>
      <c r="C806" s="53"/>
      <c r="D806" s="53"/>
      <c r="E806" s="381" t="s">
        <v>864</v>
      </c>
      <c r="F806" s="382"/>
      <c r="G806" s="99">
        <f>+ROUND(Návrh!H803,-3)/$X$2</f>
        <v>187</v>
      </c>
      <c r="H806" s="99">
        <f>+ROUND(Návrh!I803,-3)/$X$2</f>
        <v>79</v>
      </c>
      <c r="I806" s="99">
        <f>+ROUND(Návrh!J803,-3)/$X$2</f>
        <v>0</v>
      </c>
      <c r="J806" s="99" t="e">
        <f>+ROUND(Návrh!#REF!,-3)/$X$2</f>
        <v>#REF!</v>
      </c>
      <c r="K806" s="99">
        <f>+ROUND(Návrh!K803,-3)/$X$2</f>
        <v>87</v>
      </c>
      <c r="L806" s="99">
        <f>+ROUND(Návrh!L803,-3)/$X$2</f>
        <v>80</v>
      </c>
      <c r="M806" s="67"/>
    </row>
    <row r="807" spans="1:13" x14ac:dyDescent="0.25">
      <c r="A807" s="42" t="s">
        <v>1615</v>
      </c>
      <c r="B807" s="27" t="s">
        <v>916</v>
      </c>
      <c r="C807" s="28" t="s">
        <v>923</v>
      </c>
      <c r="D807" s="28" t="s">
        <v>1643</v>
      </c>
      <c r="E807" s="373" t="s">
        <v>865</v>
      </c>
      <c r="F807" s="374"/>
      <c r="G807" s="88">
        <f>+ROUND(Návrh!H804,-3)/$X$2</f>
        <v>187</v>
      </c>
      <c r="H807" s="88">
        <f>+ROUND(Návrh!I804,-3)/$X$2</f>
        <v>79</v>
      </c>
      <c r="I807" s="88">
        <f>+ROUND(Návrh!J804,-3)/$X$2</f>
        <v>0</v>
      </c>
      <c r="J807" s="88" t="e">
        <f>+ROUND(Návrh!#REF!,-3)/$X$2</f>
        <v>#REF!</v>
      </c>
      <c r="K807" s="88">
        <f>+ROUND(Návrh!K804,-3)/$X$2</f>
        <v>87</v>
      </c>
      <c r="L807" s="88">
        <f>+ROUND(Návrh!L804,-3)/$X$2</f>
        <v>80</v>
      </c>
      <c r="M807" s="67"/>
    </row>
    <row r="808" spans="1:13" x14ac:dyDescent="0.25">
      <c r="A808" s="51" t="s">
        <v>866</v>
      </c>
      <c r="B808" s="51"/>
      <c r="C808" s="49"/>
      <c r="D808" s="49"/>
      <c r="E808" s="395" t="s">
        <v>867</v>
      </c>
      <c r="F808" s="396"/>
      <c r="G808" s="98">
        <f>+ROUND(Návrh!H805,-3)/$X$2</f>
        <v>27</v>
      </c>
      <c r="H808" s="98">
        <f>+ROUND(Návrh!I805,-3)/$X$2</f>
        <v>65</v>
      </c>
      <c r="I808" s="98">
        <f>+ROUND(Návrh!J805,-3)/$X$2</f>
        <v>0</v>
      </c>
      <c r="J808" s="98" t="e">
        <f>+ROUND(Návrh!#REF!,-3)/$X$2</f>
        <v>#REF!</v>
      </c>
      <c r="K808" s="98">
        <f>+ROUND(Návrh!K805,-3)/$X$2</f>
        <v>0</v>
      </c>
      <c r="L808" s="98">
        <f>+ROUND(Návrh!L805,-3)/$X$2</f>
        <v>0</v>
      </c>
      <c r="M808" s="67"/>
    </row>
    <row r="809" spans="1:13" x14ac:dyDescent="0.25">
      <c r="A809" s="55" t="s">
        <v>1616</v>
      </c>
      <c r="B809" s="55"/>
      <c r="C809" s="53"/>
      <c r="D809" s="53"/>
      <c r="E809" s="381" t="s">
        <v>868</v>
      </c>
      <c r="F809" s="382"/>
      <c r="G809" s="99">
        <f>+ROUND(Návrh!H806,-3)/$X$2</f>
        <v>27</v>
      </c>
      <c r="H809" s="99">
        <f>+ROUND(Návrh!I806,-3)/$X$2</f>
        <v>65</v>
      </c>
      <c r="I809" s="99">
        <f>+ROUND(Návrh!J806,-3)/$X$2</f>
        <v>0</v>
      </c>
      <c r="J809" s="99" t="e">
        <f>+ROUND(Návrh!#REF!,-3)/$X$2</f>
        <v>#REF!</v>
      </c>
      <c r="K809" s="99">
        <f>+ROUND(Návrh!K806,-3)/$X$2</f>
        <v>0</v>
      </c>
      <c r="L809" s="99">
        <f>+ROUND(Návrh!L806,-3)/$X$2</f>
        <v>0</v>
      </c>
      <c r="M809" s="67"/>
    </row>
    <row r="810" spans="1:13" x14ac:dyDescent="0.25">
      <c r="A810" s="42" t="s">
        <v>1617</v>
      </c>
      <c r="B810" s="14"/>
      <c r="C810" s="13"/>
      <c r="D810" s="13"/>
      <c r="E810" s="373" t="s">
        <v>869</v>
      </c>
      <c r="F810" s="374"/>
      <c r="G810" s="88">
        <f>+ROUND(Návrh!H807,-3)/$X$2</f>
        <v>27</v>
      </c>
      <c r="H810" s="88">
        <f>+ROUND(Návrh!I807,-3)/$X$2</f>
        <v>65</v>
      </c>
      <c r="I810" s="88">
        <f>+ROUND(Návrh!J807,-3)/$X$2</f>
        <v>0</v>
      </c>
      <c r="J810" s="88" t="e">
        <f>+ROUND(Návrh!#REF!,-3)/$X$2</f>
        <v>#REF!</v>
      </c>
      <c r="K810" s="88">
        <f>+ROUND(Návrh!K807,-3)/$X$2</f>
        <v>0</v>
      </c>
      <c r="L810" s="88">
        <f>+ROUND(Návrh!L807,-3)/$X$2</f>
        <v>0</v>
      </c>
      <c r="M810" s="67"/>
    </row>
    <row r="811" spans="1:13" x14ac:dyDescent="0.25">
      <c r="A811" s="51" t="s">
        <v>870</v>
      </c>
      <c r="B811" s="51"/>
      <c r="C811" s="49"/>
      <c r="D811" s="49"/>
      <c r="E811" s="395" t="s">
        <v>871</v>
      </c>
      <c r="F811" s="396"/>
      <c r="G811" s="98">
        <f>+ROUND(Návrh!H808,-3)/$X$2</f>
        <v>0</v>
      </c>
      <c r="H811" s="98">
        <f>+ROUND(Návrh!I808,-3)/$X$2</f>
        <v>0</v>
      </c>
      <c r="I811" s="98">
        <f>+ROUND(Návrh!J808,-3)/$X$2</f>
        <v>0</v>
      </c>
      <c r="J811" s="98" t="e">
        <f>+ROUND(Návrh!#REF!,-3)/$X$2</f>
        <v>#REF!</v>
      </c>
      <c r="K811" s="98">
        <f>+ROUND(Návrh!K808,-3)/$X$2</f>
        <v>0</v>
      </c>
      <c r="L811" s="98">
        <f>+ROUND(Návrh!L808,-3)/$X$2</f>
        <v>0</v>
      </c>
      <c r="M811" s="67"/>
    </row>
    <row r="812" spans="1:13" x14ac:dyDescent="0.25">
      <c r="A812" s="51" t="s">
        <v>872</v>
      </c>
      <c r="B812" s="51"/>
      <c r="C812" s="49"/>
      <c r="D812" s="49"/>
      <c r="E812" s="395" t="s">
        <v>873</v>
      </c>
      <c r="F812" s="396"/>
      <c r="G812" s="98">
        <f>+ROUND(Návrh!H809,-3)/$X$2</f>
        <v>0</v>
      </c>
      <c r="H812" s="98">
        <f>+ROUND(Návrh!I809,-3)/$X$2</f>
        <v>0</v>
      </c>
      <c r="I812" s="98">
        <f>+ROUND(Návrh!J809,-3)/$X$2</f>
        <v>0</v>
      </c>
      <c r="J812" s="98" t="e">
        <f>+ROUND(Návrh!#REF!,-3)/$X$2</f>
        <v>#REF!</v>
      </c>
      <c r="K812" s="98">
        <f>+ROUND(Návrh!K809,-3)/$X$2</f>
        <v>0</v>
      </c>
      <c r="L812" s="98">
        <f>+ROUND(Návrh!L809,-3)/$X$2</f>
        <v>0</v>
      </c>
      <c r="M812" s="67"/>
    </row>
    <row r="813" spans="1:13" x14ac:dyDescent="0.25">
      <c r="A813" s="51" t="s">
        <v>874</v>
      </c>
      <c r="B813" s="51"/>
      <c r="C813" s="49"/>
      <c r="D813" s="49"/>
      <c r="E813" s="395" t="s">
        <v>875</v>
      </c>
      <c r="F813" s="396"/>
      <c r="G813" s="98">
        <f>+ROUND(Návrh!H810,-3)/$X$2</f>
        <v>0</v>
      </c>
      <c r="H813" s="98">
        <f>+ROUND(Návrh!I810,-3)/$X$2</f>
        <v>0</v>
      </c>
      <c r="I813" s="98">
        <f>+ROUND(Návrh!J810,-3)/$X$2</f>
        <v>0</v>
      </c>
      <c r="J813" s="98" t="e">
        <f>+ROUND(Návrh!#REF!,-3)/$X$2</f>
        <v>#REF!</v>
      </c>
      <c r="K813" s="98">
        <f>+ROUND(Návrh!K810,-3)/$X$2</f>
        <v>0</v>
      </c>
      <c r="L813" s="98">
        <f>+ROUND(Návrh!L810,-3)/$X$2</f>
        <v>0</v>
      </c>
      <c r="M813" s="67"/>
    </row>
    <row r="814" spans="1:13" x14ac:dyDescent="0.25">
      <c r="A814" s="51" t="s">
        <v>876</v>
      </c>
      <c r="B814" s="51"/>
      <c r="C814" s="49"/>
      <c r="D814" s="49"/>
      <c r="E814" s="395" t="s">
        <v>877</v>
      </c>
      <c r="F814" s="396"/>
      <c r="G814" s="98">
        <f>+ROUND(Návrh!H811,-3)/$X$2</f>
        <v>0</v>
      </c>
      <c r="H814" s="98">
        <f>+ROUND(Návrh!I811,-3)/$X$2</f>
        <v>0</v>
      </c>
      <c r="I814" s="98">
        <f>+ROUND(Návrh!J811,-3)/$X$2</f>
        <v>0</v>
      </c>
      <c r="J814" s="98" t="e">
        <f>+ROUND(Návrh!#REF!,-3)/$X$2</f>
        <v>#REF!</v>
      </c>
      <c r="K814" s="98">
        <f>+ROUND(Návrh!K811,-3)/$X$2</f>
        <v>0</v>
      </c>
      <c r="L814" s="98">
        <f>+ROUND(Návrh!L811,-3)/$X$2</f>
        <v>0</v>
      </c>
      <c r="M814" s="67"/>
    </row>
    <row r="815" spans="1:13" x14ac:dyDescent="0.25">
      <c r="A815" s="51" t="s">
        <v>878</v>
      </c>
      <c r="B815" s="51"/>
      <c r="C815" s="49"/>
      <c r="D815" s="49"/>
      <c r="E815" s="395" t="s">
        <v>879</v>
      </c>
      <c r="F815" s="396"/>
      <c r="G815" s="98">
        <f>+ROUND(Návrh!H812,-3)/$X$2</f>
        <v>0</v>
      </c>
      <c r="H815" s="98">
        <f>+ROUND(Návrh!I812,-3)/$X$2</f>
        <v>0</v>
      </c>
      <c r="I815" s="98">
        <f>+ROUND(Návrh!J812,-3)/$X$2</f>
        <v>0</v>
      </c>
      <c r="J815" s="98" t="e">
        <f>+ROUND(Návrh!#REF!,-3)/$X$2</f>
        <v>#REF!</v>
      </c>
      <c r="K815" s="98">
        <f>+ROUND(Návrh!K812,-3)/$X$2</f>
        <v>0</v>
      </c>
      <c r="L815" s="98">
        <f>+ROUND(Návrh!L812,-3)/$X$2</f>
        <v>0</v>
      </c>
      <c r="M815" s="67"/>
    </row>
    <row r="816" spans="1:13" x14ac:dyDescent="0.25">
      <c r="A816" s="58" t="s">
        <v>880</v>
      </c>
      <c r="B816" s="58"/>
      <c r="C816" s="59"/>
      <c r="D816" s="59"/>
      <c r="E816" s="397" t="s">
        <v>850</v>
      </c>
      <c r="F816" s="398"/>
      <c r="G816" s="97">
        <f>+ROUND(Návrh!H813,-3)/$X$2</f>
        <v>56839</v>
      </c>
      <c r="H816" s="97">
        <f>+ROUND(Návrh!I813,-3)/$X$2</f>
        <v>46881</v>
      </c>
      <c r="I816" s="97">
        <f>+ROUND(Návrh!J813,-3)/$X$2</f>
        <v>42793</v>
      </c>
      <c r="J816" s="97" t="e">
        <f>+ROUND(Návrh!#REF!,-3)/$X$2</f>
        <v>#REF!</v>
      </c>
      <c r="K816" s="97">
        <f>+ROUND(Návrh!K813,-3)/$X$2</f>
        <v>62032</v>
      </c>
      <c r="L816" s="97">
        <f>+ROUND(Návrh!L813,-3)/$X$2</f>
        <v>53438</v>
      </c>
      <c r="M816" s="67"/>
    </row>
    <row r="817" spans="1:13" x14ac:dyDescent="0.25">
      <c r="A817" s="51" t="s">
        <v>881</v>
      </c>
      <c r="B817" s="51"/>
      <c r="C817" s="49"/>
      <c r="D817" s="49"/>
      <c r="E817" s="395" t="s">
        <v>882</v>
      </c>
      <c r="F817" s="396"/>
      <c r="G817" s="98">
        <f>+ROUND(Návrh!H814,-3)/$X$2</f>
        <v>0</v>
      </c>
      <c r="H817" s="98">
        <f>+ROUND(Návrh!I814,-3)/$X$2</f>
        <v>0</v>
      </c>
      <c r="I817" s="98">
        <f>+ROUND(Návrh!J814,-3)/$X$2</f>
        <v>0</v>
      </c>
      <c r="J817" s="98" t="e">
        <f>+ROUND(Návrh!#REF!,-3)/$X$2</f>
        <v>#REF!</v>
      </c>
      <c r="K817" s="98">
        <f>+ROUND(Návrh!K814,-3)/$X$2</f>
        <v>0</v>
      </c>
      <c r="L817" s="98">
        <f>+ROUND(Návrh!L814,-3)/$X$2</f>
        <v>0</v>
      </c>
      <c r="M817" s="67"/>
    </row>
    <row r="818" spans="1:13" x14ac:dyDescent="0.25">
      <c r="A818" s="51" t="s">
        <v>883</v>
      </c>
      <c r="B818" s="51"/>
      <c r="C818" s="49"/>
      <c r="D818" s="49"/>
      <c r="E818" s="395" t="s">
        <v>884</v>
      </c>
      <c r="F818" s="396"/>
      <c r="G818" s="98">
        <f>+ROUND(Návrh!H815,-3)/$X$2</f>
        <v>56839</v>
      </c>
      <c r="H818" s="98">
        <f>+ROUND(Návrh!I815,-3)/$X$2</f>
        <v>46881</v>
      </c>
      <c r="I818" s="98">
        <f>+ROUND(Návrh!J815,-3)/$X$2</f>
        <v>42793</v>
      </c>
      <c r="J818" s="98" t="e">
        <f>+ROUND(Návrh!#REF!,-3)/$X$2</f>
        <v>#REF!</v>
      </c>
      <c r="K818" s="98">
        <f>+ROUND(Návrh!K815,-3)/$X$2</f>
        <v>62032</v>
      </c>
      <c r="L818" s="98">
        <f>+ROUND(Návrh!L815,-3)/$X$2</f>
        <v>53438</v>
      </c>
      <c r="M818" s="67"/>
    </row>
    <row r="819" spans="1:13" x14ac:dyDescent="0.25">
      <c r="A819" s="55" t="s">
        <v>1618</v>
      </c>
      <c r="B819" s="55"/>
      <c r="C819" s="53"/>
      <c r="D819" s="53"/>
      <c r="E819" s="381" t="s">
        <v>885</v>
      </c>
      <c r="F819" s="382"/>
      <c r="G819" s="99">
        <f>+ROUND(Návrh!H816,-3)/$X$2</f>
        <v>40117</v>
      </c>
      <c r="H819" s="99">
        <f>+ROUND(Návrh!I816,-3)/$X$2</f>
        <v>25075</v>
      </c>
      <c r="I819" s="99">
        <f>+ROUND(Návrh!J816,-3)/$X$2</f>
        <v>19962</v>
      </c>
      <c r="J819" s="99" t="e">
        <f>+ROUND(Návrh!#REF!,-3)/$X$2</f>
        <v>#REF!</v>
      </c>
      <c r="K819" s="99">
        <f>+ROUND(Návrh!K816,-3)/$X$2</f>
        <v>37318</v>
      </c>
      <c r="L819" s="99">
        <f>+ROUND(Návrh!L816,-3)/$X$2</f>
        <v>29988</v>
      </c>
      <c r="M819" s="67"/>
    </row>
    <row r="820" spans="1:13" x14ac:dyDescent="0.25">
      <c r="A820" s="42" t="s">
        <v>1619</v>
      </c>
      <c r="B820" s="56" t="s">
        <v>916</v>
      </c>
      <c r="C820" s="34" t="s">
        <v>923</v>
      </c>
      <c r="D820" s="34" t="s">
        <v>1633</v>
      </c>
      <c r="E820" s="399" t="s">
        <v>886</v>
      </c>
      <c r="F820" s="400"/>
      <c r="G820" s="88">
        <f>+ROUND(Návrh!H817,-3)/$X$2</f>
        <v>23515</v>
      </c>
      <c r="H820" s="88">
        <f>+ROUND(Návrh!I817,-3)/$X$2</f>
        <v>8729</v>
      </c>
      <c r="I820" s="88">
        <f>+ROUND(Návrh!J817,-3)/$X$2</f>
        <v>3886</v>
      </c>
      <c r="J820" s="88" t="e">
        <f>+ROUND(Návrh!#REF!,-3)/$X$2</f>
        <v>#REF!</v>
      </c>
      <c r="K820" s="88">
        <f>+ROUND(Návrh!K817,-3)/$X$2</f>
        <v>10389</v>
      </c>
      <c r="L820" s="88">
        <f>+ROUND(Návrh!L817,-3)/$X$2</f>
        <v>4311</v>
      </c>
      <c r="M820" s="67"/>
    </row>
    <row r="821" spans="1:13" x14ac:dyDescent="0.25">
      <c r="A821" s="42" t="s">
        <v>1620</v>
      </c>
      <c r="B821" s="56" t="s">
        <v>916</v>
      </c>
      <c r="C821" s="34" t="s">
        <v>923</v>
      </c>
      <c r="D821" s="34" t="s">
        <v>1633</v>
      </c>
      <c r="E821" s="399" t="s">
        <v>887</v>
      </c>
      <c r="F821" s="400"/>
      <c r="G821" s="88">
        <f>+ROUND(Návrh!H818,-3)/$X$2</f>
        <v>2334</v>
      </c>
      <c r="H821" s="88">
        <f>+ROUND(Návrh!I818,-3)/$X$2</f>
        <v>2566</v>
      </c>
      <c r="I821" s="88">
        <f>+ROUND(Návrh!J818,-3)/$X$2</f>
        <v>2452</v>
      </c>
      <c r="J821" s="88" t="e">
        <f>+ROUND(Návrh!#REF!,-3)/$X$2</f>
        <v>#REF!</v>
      </c>
      <c r="K821" s="88">
        <f>+ROUND(Návrh!K818,-3)/$X$2</f>
        <v>2314</v>
      </c>
      <c r="L821" s="88">
        <f>+ROUND(Návrh!L818,-3)/$X$2</f>
        <v>3498</v>
      </c>
      <c r="M821" s="67"/>
    </row>
    <row r="822" spans="1:13" x14ac:dyDescent="0.25">
      <c r="A822" s="42" t="s">
        <v>1621</v>
      </c>
      <c r="B822" s="56" t="s">
        <v>916</v>
      </c>
      <c r="C822" s="34" t="s">
        <v>923</v>
      </c>
      <c r="D822" s="34" t="s">
        <v>1633</v>
      </c>
      <c r="E822" s="399" t="s">
        <v>888</v>
      </c>
      <c r="F822" s="400"/>
      <c r="G822" s="88">
        <f>+ROUND(Návrh!H819,-3)/$X$2</f>
        <v>4748</v>
      </c>
      <c r="H822" s="88">
        <f>+ROUND(Návrh!I819,-3)/$X$2</f>
        <v>5043</v>
      </c>
      <c r="I822" s="88">
        <f>+ROUND(Návrh!J819,-3)/$X$2</f>
        <v>4804</v>
      </c>
      <c r="J822" s="88" t="e">
        <f>+ROUND(Návrh!#REF!,-3)/$X$2</f>
        <v>#REF!</v>
      </c>
      <c r="K822" s="88">
        <f>+ROUND(Návrh!K819,-3)/$X$2</f>
        <v>5591</v>
      </c>
      <c r="L822" s="88">
        <f>+ROUND(Návrh!L819,-3)/$X$2</f>
        <v>6190</v>
      </c>
      <c r="M822" s="67"/>
    </row>
    <row r="823" spans="1:13" x14ac:dyDescent="0.25">
      <c r="A823" s="42" t="s">
        <v>1622</v>
      </c>
      <c r="B823" s="56"/>
      <c r="C823" s="34"/>
      <c r="D823" s="34"/>
      <c r="E823" s="399" t="s">
        <v>889</v>
      </c>
      <c r="F823" s="400"/>
      <c r="G823" s="88">
        <f>+ROUND(Návrh!H820,-3)/$X$2</f>
        <v>0</v>
      </c>
      <c r="H823" s="88">
        <f>+ROUND(Návrh!I820,-3)/$X$2</f>
        <v>0</v>
      </c>
      <c r="I823" s="88">
        <f>+ROUND(Návrh!J820,-3)/$X$2</f>
        <v>0</v>
      </c>
      <c r="J823" s="88" t="e">
        <f>+ROUND(Návrh!#REF!,-3)/$X$2</f>
        <v>#REF!</v>
      </c>
      <c r="K823" s="88">
        <f>+ROUND(Návrh!K820,-3)/$X$2</f>
        <v>2353</v>
      </c>
      <c r="L823" s="88">
        <f>+ROUND(Návrh!L820,-3)/$X$2</f>
        <v>0</v>
      </c>
      <c r="M823" s="67"/>
    </row>
    <row r="824" spans="1:13" x14ac:dyDescent="0.25">
      <c r="A824" s="42" t="s">
        <v>1623</v>
      </c>
      <c r="B824" s="34" t="s">
        <v>916</v>
      </c>
      <c r="C824" s="34" t="s">
        <v>923</v>
      </c>
      <c r="D824" s="34" t="s">
        <v>1633</v>
      </c>
      <c r="E824" s="399" t="s">
        <v>890</v>
      </c>
      <c r="F824" s="400"/>
      <c r="G824" s="88">
        <f>+ROUND(Návrh!H821,-3)/$X$2</f>
        <v>5459</v>
      </c>
      <c r="H824" s="88">
        <f>+ROUND(Návrh!I821,-3)/$X$2</f>
        <v>5871</v>
      </c>
      <c r="I824" s="88">
        <f>+ROUND(Návrh!J821,-3)/$X$2</f>
        <v>8000</v>
      </c>
      <c r="J824" s="88" t="e">
        <f>+ROUND(Návrh!#REF!,-3)/$X$2</f>
        <v>#REF!</v>
      </c>
      <c r="K824" s="88">
        <f>+ROUND(Návrh!K821,-3)/$X$2</f>
        <v>10486</v>
      </c>
      <c r="L824" s="88">
        <f>+ROUND(Návrh!L821,-3)/$X$2</f>
        <v>8000</v>
      </c>
      <c r="M824" s="67"/>
    </row>
    <row r="825" spans="1:13" x14ac:dyDescent="0.25">
      <c r="A825" s="42" t="s">
        <v>1624</v>
      </c>
      <c r="B825" s="56" t="s">
        <v>916</v>
      </c>
      <c r="C825" s="34" t="s">
        <v>923</v>
      </c>
      <c r="D825" s="34" t="s">
        <v>1633</v>
      </c>
      <c r="E825" s="399" t="s">
        <v>1690</v>
      </c>
      <c r="F825" s="400"/>
      <c r="G825" s="88">
        <f>+ROUND(Návrh!H822,-3)/$X$2</f>
        <v>1053</v>
      </c>
      <c r="H825" s="88">
        <f>+ROUND(Návrh!I822,-3)/$X$2</f>
        <v>1141</v>
      </c>
      <c r="I825" s="88">
        <f>+ROUND(Návrh!J822,-3)/$X$2</f>
        <v>820</v>
      </c>
      <c r="J825" s="88" t="e">
        <f>+ROUND(Návrh!#REF!,-3)/$X$2</f>
        <v>#REF!</v>
      </c>
      <c r="K825" s="88">
        <f>+ROUND(Návrh!K822,-3)/$X$2</f>
        <v>3347</v>
      </c>
      <c r="L825" s="88">
        <f>+ROUND(Návrh!L822,-3)/$X$2</f>
        <v>4545</v>
      </c>
      <c r="M825" s="67"/>
    </row>
    <row r="826" spans="1:13" x14ac:dyDescent="0.25">
      <c r="A826" s="42" t="s">
        <v>1625</v>
      </c>
      <c r="B826" s="56" t="s">
        <v>916</v>
      </c>
      <c r="C826" s="34" t="s">
        <v>923</v>
      </c>
      <c r="D826" s="34" t="s">
        <v>1633</v>
      </c>
      <c r="E826" s="399" t="s">
        <v>891</v>
      </c>
      <c r="F826" s="400"/>
      <c r="G826" s="88">
        <f>+ROUND(Návrh!H823,-3)/$X$2</f>
        <v>3008</v>
      </c>
      <c r="H826" s="88">
        <f>+ROUND(Návrh!I823,-3)/$X$2</f>
        <v>1726</v>
      </c>
      <c r="I826" s="88">
        <f>+ROUND(Návrh!J823,-3)/$X$2</f>
        <v>0</v>
      </c>
      <c r="J826" s="88" t="e">
        <f>+ROUND(Návrh!#REF!,-3)/$X$2</f>
        <v>#REF!</v>
      </c>
      <c r="K826" s="88">
        <f>+ROUND(Návrh!K823,-3)/$X$2</f>
        <v>2839</v>
      </c>
      <c r="L826" s="88">
        <f>+ROUND(Návrh!L823,-3)/$X$2</f>
        <v>3444</v>
      </c>
      <c r="M826" s="67"/>
    </row>
    <row r="827" spans="1:13" x14ac:dyDescent="0.25">
      <c r="A827" s="55" t="s">
        <v>1626</v>
      </c>
      <c r="B827" s="55"/>
      <c r="C827" s="53"/>
      <c r="D827" s="53"/>
      <c r="E827" s="381" t="s">
        <v>892</v>
      </c>
      <c r="F827" s="382"/>
      <c r="G827" s="99">
        <f>+ROUND(Návrh!H824,-3)/$X$2</f>
        <v>16228</v>
      </c>
      <c r="H827" s="99">
        <f>+ROUND(Návrh!I824,-3)/$X$2</f>
        <v>21241</v>
      </c>
      <c r="I827" s="99">
        <f>+ROUND(Návrh!J824,-3)/$X$2</f>
        <v>22281</v>
      </c>
      <c r="J827" s="99" t="e">
        <f>+ROUND(Návrh!#REF!,-3)/$X$2</f>
        <v>#REF!</v>
      </c>
      <c r="K827" s="99">
        <f>+ROUND(Návrh!K824,-3)/$X$2</f>
        <v>23866</v>
      </c>
      <c r="L827" s="99">
        <f>+ROUND(Návrh!L824,-3)/$X$2</f>
        <v>22900</v>
      </c>
      <c r="M827" s="67"/>
    </row>
    <row r="828" spans="1:13" x14ac:dyDescent="0.25">
      <c r="A828" s="42" t="s">
        <v>1627</v>
      </c>
      <c r="B828" s="56" t="s">
        <v>916</v>
      </c>
      <c r="C828" s="34" t="s">
        <v>923</v>
      </c>
      <c r="D828" s="34" t="s">
        <v>1633</v>
      </c>
      <c r="E828" s="399" t="s">
        <v>893</v>
      </c>
      <c r="F828" s="400"/>
      <c r="G828" s="88">
        <f>+ROUND(Návrh!H825,-3)/$X$2</f>
        <v>6078</v>
      </c>
      <c r="H828" s="88">
        <f>+ROUND(Návrh!I825,-3)/$X$2</f>
        <v>7877</v>
      </c>
      <c r="I828" s="88">
        <f>+ROUND(Návrh!J825,-3)/$X$2</f>
        <v>8867</v>
      </c>
      <c r="J828" s="88" t="e">
        <f>+ROUND(Návrh!#REF!,-3)/$X$2</f>
        <v>#REF!</v>
      </c>
      <c r="K828" s="88">
        <f>+ROUND(Návrh!K825,-3)/$X$2</f>
        <v>8639</v>
      </c>
      <c r="L828" s="88">
        <f>+ROUND(Návrh!L825,-3)/$X$2</f>
        <v>8429</v>
      </c>
      <c r="M828" s="67"/>
    </row>
    <row r="829" spans="1:13" x14ac:dyDescent="0.25">
      <c r="A829" s="42" t="s">
        <v>1628</v>
      </c>
      <c r="B829" s="56" t="s">
        <v>916</v>
      </c>
      <c r="C829" s="34" t="s">
        <v>923</v>
      </c>
      <c r="D829" s="34" t="s">
        <v>1633</v>
      </c>
      <c r="E829" s="399" t="s">
        <v>894</v>
      </c>
      <c r="F829" s="400"/>
      <c r="G829" s="88">
        <f>+ROUND(Návrh!H826,-3)/$X$2</f>
        <v>10150</v>
      </c>
      <c r="H829" s="88">
        <f>+ROUND(Návrh!I826,-3)/$X$2</f>
        <v>13364</v>
      </c>
      <c r="I829" s="88">
        <f>+ROUND(Návrh!J826,-3)/$X$2</f>
        <v>13414</v>
      </c>
      <c r="J829" s="88" t="e">
        <f>+ROUND(Návrh!#REF!,-3)/$X$2</f>
        <v>#REF!</v>
      </c>
      <c r="K829" s="88">
        <f>+ROUND(Návrh!K826,-3)/$X$2</f>
        <v>15227</v>
      </c>
      <c r="L829" s="88">
        <f>+ROUND(Návrh!L826,-3)/$X$2</f>
        <v>14471</v>
      </c>
      <c r="M829" s="67"/>
    </row>
    <row r="830" spans="1:13" x14ac:dyDescent="0.25">
      <c r="A830" s="55" t="s">
        <v>1629</v>
      </c>
      <c r="B830" s="55"/>
      <c r="C830" s="53"/>
      <c r="D830" s="53"/>
      <c r="E830" s="381" t="s">
        <v>895</v>
      </c>
      <c r="F830" s="382"/>
      <c r="G830" s="99">
        <f>+ROUND(Návrh!H827,-3)/$X$2</f>
        <v>494</v>
      </c>
      <c r="H830" s="99">
        <f>+ROUND(Návrh!I827,-3)/$X$2</f>
        <v>565</v>
      </c>
      <c r="I830" s="99">
        <f>+ROUND(Návrh!J827,-3)/$X$2</f>
        <v>550</v>
      </c>
      <c r="J830" s="99" t="e">
        <f>+ROUND(Návrh!#REF!,-3)/$X$2</f>
        <v>#REF!</v>
      </c>
      <c r="K830" s="99">
        <f>+ROUND(Návrh!K827,-3)/$X$2</f>
        <v>848</v>
      </c>
      <c r="L830" s="99">
        <f>+ROUND(Návrh!L827,-3)/$X$2</f>
        <v>550</v>
      </c>
      <c r="M830" s="67"/>
    </row>
    <row r="831" spans="1:13" x14ac:dyDescent="0.25">
      <c r="A831" s="42" t="s">
        <v>1630</v>
      </c>
      <c r="B831" s="56" t="s">
        <v>916</v>
      </c>
      <c r="C831" s="34" t="s">
        <v>920</v>
      </c>
      <c r="D831" s="34" t="s">
        <v>917</v>
      </c>
      <c r="E831" s="399" t="s">
        <v>896</v>
      </c>
      <c r="F831" s="400"/>
      <c r="G831" s="88">
        <f>+ROUND(Návrh!H828,-3)/$X$2</f>
        <v>494</v>
      </c>
      <c r="H831" s="88">
        <f>+ROUND(Návrh!I828,-3)/$X$2</f>
        <v>565</v>
      </c>
      <c r="I831" s="88">
        <f>+ROUND(Návrh!J828,-3)/$X$2</f>
        <v>550</v>
      </c>
      <c r="J831" s="88" t="e">
        <f>+ROUND(Návrh!#REF!,-3)/$X$2</f>
        <v>#REF!</v>
      </c>
      <c r="K831" s="88">
        <f>+ROUND(Návrh!K828,-3)/$X$2</f>
        <v>848</v>
      </c>
      <c r="L831" s="88">
        <f>+ROUND(Návrh!L828,-3)/$X$2</f>
        <v>550</v>
      </c>
      <c r="M831" s="67"/>
    </row>
    <row r="832" spans="1:13" x14ac:dyDescent="0.25">
      <c r="A832" s="58" t="s">
        <v>897</v>
      </c>
      <c r="B832" s="58"/>
      <c r="C832" s="59"/>
      <c r="D832" s="59"/>
      <c r="E832" s="397" t="s">
        <v>898</v>
      </c>
      <c r="F832" s="398"/>
      <c r="G832" s="97">
        <f>+ROUND(Návrh!H829,-3)/$X$2</f>
        <v>0</v>
      </c>
      <c r="H832" s="97">
        <f>+ROUND(Návrh!I829,-3)/$X$2</f>
        <v>0</v>
      </c>
      <c r="I832" s="97">
        <f>+ROUND(Návrh!J829,-3)/$X$2</f>
        <v>0</v>
      </c>
      <c r="J832" s="97" t="e">
        <f>+ROUND(Návrh!#REF!,-3)/$X$2</f>
        <v>#REF!</v>
      </c>
      <c r="K832" s="97">
        <f>+ROUND(Návrh!K829,-3)/$X$2</f>
        <v>0</v>
      </c>
      <c r="L832" s="97">
        <f>+ROUND(Návrh!L829,-3)/$X$2</f>
        <v>0</v>
      </c>
      <c r="M832" s="67"/>
    </row>
    <row r="833" spans="1:13" x14ac:dyDescent="0.25">
      <c r="A833" s="51" t="s">
        <v>899</v>
      </c>
      <c r="B833" s="51"/>
      <c r="C833" s="49"/>
      <c r="D833" s="49"/>
      <c r="E833" s="395" t="s">
        <v>900</v>
      </c>
      <c r="F833" s="396"/>
      <c r="G833" s="98">
        <f>+ROUND(Návrh!H830,-3)/$X$2</f>
        <v>0</v>
      </c>
      <c r="H833" s="98">
        <f>+ROUND(Návrh!I830,-3)/$X$2</f>
        <v>0</v>
      </c>
      <c r="I833" s="98">
        <f>+ROUND(Návrh!J830,-3)/$X$2</f>
        <v>0</v>
      </c>
      <c r="J833" s="98" t="e">
        <f>+ROUND(Návrh!#REF!,-3)/$X$2</f>
        <v>#REF!</v>
      </c>
      <c r="K833" s="98">
        <f>+ROUND(Návrh!K830,-3)/$X$2</f>
        <v>0</v>
      </c>
      <c r="L833" s="98">
        <f>+ROUND(Návrh!L830,-3)/$X$2</f>
        <v>0</v>
      </c>
      <c r="M833" s="67"/>
    </row>
    <row r="834" spans="1:13" x14ac:dyDescent="0.25">
      <c r="A834" s="51" t="s">
        <v>901</v>
      </c>
      <c r="B834" s="51"/>
      <c r="C834" s="49"/>
      <c r="D834" s="49"/>
      <c r="E834" s="395" t="s">
        <v>882</v>
      </c>
      <c r="F834" s="396"/>
      <c r="G834" s="98">
        <f>+ROUND(Návrh!H831,-3)/$X$2</f>
        <v>0</v>
      </c>
      <c r="H834" s="98">
        <f>+ROUND(Návrh!I831,-3)/$X$2</f>
        <v>0</v>
      </c>
      <c r="I834" s="98">
        <f>+ROUND(Návrh!J831,-3)/$X$2</f>
        <v>0</v>
      </c>
      <c r="J834" s="98" t="e">
        <f>+ROUND(Návrh!#REF!,-3)/$X$2</f>
        <v>#REF!</v>
      </c>
      <c r="K834" s="98">
        <f>+ROUND(Návrh!K831,-3)/$X$2</f>
        <v>0</v>
      </c>
      <c r="L834" s="98">
        <f>+ROUND(Návrh!L831,-3)/$X$2</f>
        <v>0</v>
      </c>
      <c r="M834" s="67"/>
    </row>
    <row r="835" spans="1:13" x14ac:dyDescent="0.25">
      <c r="A835" s="51" t="s">
        <v>902</v>
      </c>
      <c r="B835" s="51"/>
      <c r="C835" s="49"/>
      <c r="D835" s="49"/>
      <c r="E835" s="395" t="s">
        <v>903</v>
      </c>
      <c r="F835" s="396"/>
      <c r="G835" s="98">
        <f>+ROUND(Návrh!H832,-3)/$X$2</f>
        <v>0</v>
      </c>
      <c r="H835" s="98">
        <f>+ROUND(Návrh!I832,-3)/$X$2</f>
        <v>0</v>
      </c>
      <c r="I835" s="98">
        <f>+ROUND(Návrh!J832,-3)/$X$2</f>
        <v>0</v>
      </c>
      <c r="J835" s="98" t="e">
        <f>+ROUND(Návrh!#REF!,-3)/$X$2</f>
        <v>#REF!</v>
      </c>
      <c r="K835" s="98">
        <f>+ROUND(Návrh!K832,-3)/$X$2</f>
        <v>0</v>
      </c>
      <c r="L835" s="98">
        <f>+ROUND(Návrh!L832,-3)/$X$2</f>
        <v>0</v>
      </c>
      <c r="M835" s="67"/>
    </row>
    <row r="836" spans="1:13" x14ac:dyDescent="0.25">
      <c r="A836" s="51" t="s">
        <v>904</v>
      </c>
      <c r="B836" s="51"/>
      <c r="C836" s="49"/>
      <c r="D836" s="49"/>
      <c r="E836" s="395" t="s">
        <v>905</v>
      </c>
      <c r="F836" s="396"/>
      <c r="G836" s="98">
        <f>+ROUND(Návrh!H833,-3)/$X$2</f>
        <v>0</v>
      </c>
      <c r="H836" s="98">
        <f>+ROUND(Návrh!I833,-3)/$X$2</f>
        <v>0</v>
      </c>
      <c r="I836" s="98">
        <f>+ROUND(Návrh!J833,-3)/$X$2</f>
        <v>0</v>
      </c>
      <c r="J836" s="98" t="e">
        <f>+ROUND(Návrh!#REF!,-3)/$X$2</f>
        <v>#REF!</v>
      </c>
      <c r="K836" s="98">
        <f>+ROUND(Návrh!K833,-3)/$X$2</f>
        <v>0</v>
      </c>
      <c r="L836" s="98">
        <f>+ROUND(Návrh!L833,-3)/$X$2</f>
        <v>0</v>
      </c>
      <c r="M836" s="67"/>
    </row>
    <row r="837" spans="1:13" x14ac:dyDescent="0.25">
      <c r="A837" s="58" t="s">
        <v>906</v>
      </c>
      <c r="B837" s="58"/>
      <c r="C837" s="59"/>
      <c r="D837" s="59"/>
      <c r="E837" s="397" t="s">
        <v>907</v>
      </c>
      <c r="F837" s="398"/>
      <c r="G837" s="97">
        <f>+ROUND(Návrh!H834,-3)/$X$2</f>
        <v>0</v>
      </c>
      <c r="H837" s="97">
        <f>+ROUND(Návrh!I834,-3)/$X$2</f>
        <v>0</v>
      </c>
      <c r="I837" s="97">
        <f>+ROUND(Návrh!J834,-3)/$X$2</f>
        <v>0</v>
      </c>
      <c r="J837" s="97" t="e">
        <f>+ROUND(Návrh!#REF!,-3)/$X$2</f>
        <v>#REF!</v>
      </c>
      <c r="K837" s="97">
        <f>+ROUND(Návrh!K834,-3)/$X$2</f>
        <v>0</v>
      </c>
      <c r="L837" s="97">
        <f>+ROUND(Návrh!L834,-3)/$X$2</f>
        <v>0</v>
      </c>
      <c r="M837" s="67"/>
    </row>
    <row r="838" spans="1:13" x14ac:dyDescent="0.25">
      <c r="A838" s="51" t="s">
        <v>908</v>
      </c>
      <c r="B838" s="51"/>
      <c r="C838" s="49"/>
      <c r="D838" s="49"/>
      <c r="E838" s="395" t="s">
        <v>909</v>
      </c>
      <c r="F838" s="396"/>
      <c r="G838" s="98">
        <f>+ROUND(Návrh!H835,-3)/$X$2</f>
        <v>0</v>
      </c>
      <c r="H838" s="98">
        <f>+ROUND(Návrh!I835,-3)/$X$2</f>
        <v>0</v>
      </c>
      <c r="I838" s="98">
        <f>+ROUND(Návrh!J835,-3)/$X$2</f>
        <v>0</v>
      </c>
      <c r="J838" s="98" t="e">
        <f>+ROUND(Návrh!#REF!,-3)/$X$2</f>
        <v>#REF!</v>
      </c>
      <c r="K838" s="98">
        <f>+ROUND(Návrh!K835,-3)/$X$2</f>
        <v>0</v>
      </c>
      <c r="L838" s="98">
        <f>+ROUND(Návrh!L835,-3)/$X$2</f>
        <v>0</v>
      </c>
      <c r="M838" s="67"/>
    </row>
    <row r="839" spans="1:13" x14ac:dyDescent="0.25">
      <c r="A839" s="51" t="s">
        <v>910</v>
      </c>
      <c r="B839" s="51"/>
      <c r="C839" s="49"/>
      <c r="D839" s="49"/>
      <c r="E839" s="395" t="s">
        <v>911</v>
      </c>
      <c r="F839" s="396"/>
      <c r="G839" s="98">
        <f>+ROUND(Návrh!H836,-3)/$X$2</f>
        <v>0</v>
      </c>
      <c r="H839" s="98">
        <f>+ROUND(Návrh!I836,-3)/$X$2</f>
        <v>0</v>
      </c>
      <c r="I839" s="98">
        <f>+ROUND(Návrh!J836,-3)/$X$2</f>
        <v>0</v>
      </c>
      <c r="J839" s="98" t="e">
        <f>+ROUND(Návrh!#REF!,-3)/$X$2</f>
        <v>#REF!</v>
      </c>
      <c r="K839" s="98">
        <f>+ROUND(Návrh!K836,-3)/$X$2</f>
        <v>0</v>
      </c>
      <c r="L839" s="98">
        <f>+ROUND(Návrh!L836,-3)/$X$2</f>
        <v>0</v>
      </c>
      <c r="M839" s="67"/>
    </row>
    <row r="840" spans="1:13" x14ac:dyDescent="0.25">
      <c r="A840" s="51" t="s">
        <v>912</v>
      </c>
      <c r="B840" s="51"/>
      <c r="C840" s="49"/>
      <c r="D840" s="49"/>
      <c r="E840" s="395" t="s">
        <v>582</v>
      </c>
      <c r="F840" s="396"/>
      <c r="G840" s="98">
        <f>+ROUND(Návrh!H837,-3)/$X$2</f>
        <v>0</v>
      </c>
      <c r="H840" s="98">
        <f>+ROUND(Návrh!I837,-3)/$X$2</f>
        <v>0</v>
      </c>
      <c r="I840" s="98">
        <f>+ROUND(Návrh!J837,-3)/$X$2</f>
        <v>0</v>
      </c>
      <c r="J840" s="98" t="e">
        <f>+ROUND(Návrh!#REF!,-3)/$X$2</f>
        <v>#REF!</v>
      </c>
      <c r="K840" s="98">
        <f>+ROUND(Návrh!K837,-3)/$X$2</f>
        <v>0</v>
      </c>
      <c r="L840" s="98">
        <f>+ROUND(Návrh!L837,-3)/$X$2</f>
        <v>0</v>
      </c>
      <c r="M840" s="67"/>
    </row>
  </sheetData>
  <autoFilter ref="B13:D840" xr:uid="{00000000-0009-0000-0000-000003000000}"/>
  <mergeCells count="830">
    <mergeCell ref="E840:F840"/>
    <mergeCell ref="E834:F834"/>
    <mergeCell ref="E835:F835"/>
    <mergeCell ref="E836:F836"/>
    <mergeCell ref="E837:F837"/>
    <mergeCell ref="E838:F838"/>
    <mergeCell ref="E839:F839"/>
    <mergeCell ref="E828:F828"/>
    <mergeCell ref="E829:F829"/>
    <mergeCell ref="E830:F830"/>
    <mergeCell ref="E831:F831"/>
    <mergeCell ref="E832:F832"/>
    <mergeCell ref="E833:F833"/>
    <mergeCell ref="E822:F822"/>
    <mergeCell ref="E823:F823"/>
    <mergeCell ref="E824:F824"/>
    <mergeCell ref="E825:F825"/>
    <mergeCell ref="E826:F826"/>
    <mergeCell ref="E827:F827"/>
    <mergeCell ref="E816:F816"/>
    <mergeCell ref="E817:F817"/>
    <mergeCell ref="E818:F818"/>
    <mergeCell ref="E819:F819"/>
    <mergeCell ref="E820:F820"/>
    <mergeCell ref="E821:F821"/>
    <mergeCell ref="E810:F810"/>
    <mergeCell ref="E811:F811"/>
    <mergeCell ref="E812:F812"/>
    <mergeCell ref="E813:F813"/>
    <mergeCell ref="E814:F814"/>
    <mergeCell ref="E815:F815"/>
    <mergeCell ref="E804:F804"/>
    <mergeCell ref="E805:F805"/>
    <mergeCell ref="E806:F806"/>
    <mergeCell ref="E807:F807"/>
    <mergeCell ref="E808:F808"/>
    <mergeCell ref="E809:F809"/>
    <mergeCell ref="E798:F798"/>
    <mergeCell ref="E799:F799"/>
    <mergeCell ref="E800:F800"/>
    <mergeCell ref="E801:F801"/>
    <mergeCell ref="E802:F802"/>
    <mergeCell ref="E803:F803"/>
    <mergeCell ref="E792:F792"/>
    <mergeCell ref="E793:F793"/>
    <mergeCell ref="E794:F794"/>
    <mergeCell ref="E795:F795"/>
    <mergeCell ref="E796:F796"/>
    <mergeCell ref="E797:F797"/>
    <mergeCell ref="E786:F786"/>
    <mergeCell ref="E787:F787"/>
    <mergeCell ref="E788:F788"/>
    <mergeCell ref="E789:F789"/>
    <mergeCell ref="E790:F790"/>
    <mergeCell ref="E791:F791"/>
    <mergeCell ref="E780:F780"/>
    <mergeCell ref="E781:F781"/>
    <mergeCell ref="E782:F782"/>
    <mergeCell ref="E783:F783"/>
    <mergeCell ref="E784:F784"/>
    <mergeCell ref="E785:F785"/>
    <mergeCell ref="E774:F774"/>
    <mergeCell ref="E775:F775"/>
    <mergeCell ref="E776:F776"/>
    <mergeCell ref="E777:F777"/>
    <mergeCell ref="E778:F778"/>
    <mergeCell ref="E779:F779"/>
    <mergeCell ref="E768:F768"/>
    <mergeCell ref="E769:F769"/>
    <mergeCell ref="E770:F770"/>
    <mergeCell ref="E771:F771"/>
    <mergeCell ref="E772:F772"/>
    <mergeCell ref="E773:F773"/>
    <mergeCell ref="E762:F762"/>
    <mergeCell ref="E763:F763"/>
    <mergeCell ref="E764:F764"/>
    <mergeCell ref="E765:F765"/>
    <mergeCell ref="E766:F766"/>
    <mergeCell ref="E767:F767"/>
    <mergeCell ref="E756:F756"/>
    <mergeCell ref="E757:F757"/>
    <mergeCell ref="E758:F758"/>
    <mergeCell ref="E759:F759"/>
    <mergeCell ref="E760:F760"/>
    <mergeCell ref="E761:F761"/>
    <mergeCell ref="E750:F750"/>
    <mergeCell ref="E751:F751"/>
    <mergeCell ref="E752:F752"/>
    <mergeCell ref="E753:F753"/>
    <mergeCell ref="E754:F754"/>
    <mergeCell ref="E755:F755"/>
    <mergeCell ref="E744:F744"/>
    <mergeCell ref="E745:F745"/>
    <mergeCell ref="E746:F746"/>
    <mergeCell ref="E747:F747"/>
    <mergeCell ref="E748:F748"/>
    <mergeCell ref="E749:F749"/>
    <mergeCell ref="E738:F738"/>
    <mergeCell ref="E739:F739"/>
    <mergeCell ref="E740:F740"/>
    <mergeCell ref="E741:F741"/>
    <mergeCell ref="E742:F742"/>
    <mergeCell ref="E743:F743"/>
    <mergeCell ref="E732:F732"/>
    <mergeCell ref="E733:F733"/>
    <mergeCell ref="E734:F734"/>
    <mergeCell ref="E735:F735"/>
    <mergeCell ref="E736:F736"/>
    <mergeCell ref="E737:F737"/>
    <mergeCell ref="E726:F726"/>
    <mergeCell ref="E727:F727"/>
    <mergeCell ref="E728:F728"/>
    <mergeCell ref="E729:F729"/>
    <mergeCell ref="E730:F730"/>
    <mergeCell ref="E731:F731"/>
    <mergeCell ref="E720:F720"/>
    <mergeCell ref="E721:F721"/>
    <mergeCell ref="E722:F722"/>
    <mergeCell ref="E723:F723"/>
    <mergeCell ref="E724:F724"/>
    <mergeCell ref="E725:F725"/>
    <mergeCell ref="E714:F714"/>
    <mergeCell ref="E715:F715"/>
    <mergeCell ref="E716:F716"/>
    <mergeCell ref="E717:F717"/>
    <mergeCell ref="E718:F718"/>
    <mergeCell ref="E719:F719"/>
    <mergeCell ref="E708:F708"/>
    <mergeCell ref="E709:F709"/>
    <mergeCell ref="E710:F710"/>
    <mergeCell ref="E711:F711"/>
    <mergeCell ref="E712:F712"/>
    <mergeCell ref="E713:F713"/>
    <mergeCell ref="E702:F702"/>
    <mergeCell ref="E703:F703"/>
    <mergeCell ref="E704:F704"/>
    <mergeCell ref="E705:F705"/>
    <mergeCell ref="E706:F706"/>
    <mergeCell ref="E707:F707"/>
    <mergeCell ref="E696:F696"/>
    <mergeCell ref="E697:F697"/>
    <mergeCell ref="E698:F698"/>
    <mergeCell ref="E699:F699"/>
    <mergeCell ref="E700:F700"/>
    <mergeCell ref="E701:F701"/>
    <mergeCell ref="E690:F690"/>
    <mergeCell ref="E691:F691"/>
    <mergeCell ref="E692:F692"/>
    <mergeCell ref="E693:F693"/>
    <mergeCell ref="E694:F694"/>
    <mergeCell ref="E695:F695"/>
    <mergeCell ref="E684:F684"/>
    <mergeCell ref="E685:F685"/>
    <mergeCell ref="E686:F686"/>
    <mergeCell ref="E687:F687"/>
    <mergeCell ref="E688:F688"/>
    <mergeCell ref="E689:F689"/>
    <mergeCell ref="E678:F678"/>
    <mergeCell ref="E679:F679"/>
    <mergeCell ref="E680:F680"/>
    <mergeCell ref="E681:F681"/>
    <mergeCell ref="E682:F682"/>
    <mergeCell ref="E683:F683"/>
    <mergeCell ref="E672:F672"/>
    <mergeCell ref="E673:F673"/>
    <mergeCell ref="E674:F674"/>
    <mergeCell ref="E675:F675"/>
    <mergeCell ref="E676:F676"/>
    <mergeCell ref="E677:F677"/>
    <mergeCell ref="E666:F666"/>
    <mergeCell ref="E667:F667"/>
    <mergeCell ref="E668:F668"/>
    <mergeCell ref="E669:F669"/>
    <mergeCell ref="E670:F670"/>
    <mergeCell ref="E671:F671"/>
    <mergeCell ref="E660:F660"/>
    <mergeCell ref="E661:F661"/>
    <mergeCell ref="E662:F662"/>
    <mergeCell ref="E663:F663"/>
    <mergeCell ref="E664:F664"/>
    <mergeCell ref="E665:F665"/>
    <mergeCell ref="E654:F654"/>
    <mergeCell ref="E655:F655"/>
    <mergeCell ref="E656:F656"/>
    <mergeCell ref="E657:F657"/>
    <mergeCell ref="E658:F658"/>
    <mergeCell ref="E659:F659"/>
    <mergeCell ref="E648:F648"/>
    <mergeCell ref="E649:F649"/>
    <mergeCell ref="E650:F650"/>
    <mergeCell ref="E651:F651"/>
    <mergeCell ref="E652:F652"/>
    <mergeCell ref="E653:F653"/>
    <mergeCell ref="E642:F642"/>
    <mergeCell ref="E643:F643"/>
    <mergeCell ref="E644:F644"/>
    <mergeCell ref="E645:F645"/>
    <mergeCell ref="E646:F646"/>
    <mergeCell ref="E647:F647"/>
    <mergeCell ref="E636:F636"/>
    <mergeCell ref="E637:F637"/>
    <mergeCell ref="E638:F638"/>
    <mergeCell ref="E639:F639"/>
    <mergeCell ref="E640:F640"/>
    <mergeCell ref="E641:F641"/>
    <mergeCell ref="E630:F630"/>
    <mergeCell ref="E631:F631"/>
    <mergeCell ref="E632:F632"/>
    <mergeCell ref="E633:F633"/>
    <mergeCell ref="E634:F634"/>
    <mergeCell ref="E635:F635"/>
    <mergeCell ref="E624:F624"/>
    <mergeCell ref="E625:F625"/>
    <mergeCell ref="E626:F626"/>
    <mergeCell ref="E627:F627"/>
    <mergeCell ref="E628:F628"/>
    <mergeCell ref="E629:F629"/>
    <mergeCell ref="E618:F618"/>
    <mergeCell ref="E619:F619"/>
    <mergeCell ref="E620:F620"/>
    <mergeCell ref="E621:F621"/>
    <mergeCell ref="E622:F622"/>
    <mergeCell ref="E623:F623"/>
    <mergeCell ref="E612:F612"/>
    <mergeCell ref="E613:F613"/>
    <mergeCell ref="E614:F614"/>
    <mergeCell ref="E615:F615"/>
    <mergeCell ref="E616:F616"/>
    <mergeCell ref="E617:F617"/>
    <mergeCell ref="E606:F606"/>
    <mergeCell ref="E607:F607"/>
    <mergeCell ref="E608:F608"/>
    <mergeCell ref="E609:F609"/>
    <mergeCell ref="E610:F610"/>
    <mergeCell ref="E611:F611"/>
    <mergeCell ref="E600:F600"/>
    <mergeCell ref="E601:F601"/>
    <mergeCell ref="E602:F602"/>
    <mergeCell ref="E603:F603"/>
    <mergeCell ref="E604:F604"/>
    <mergeCell ref="E605:F605"/>
    <mergeCell ref="E594:F594"/>
    <mergeCell ref="E595:F595"/>
    <mergeCell ref="E596:F596"/>
    <mergeCell ref="E597:F597"/>
    <mergeCell ref="E598:F598"/>
    <mergeCell ref="E599:F599"/>
    <mergeCell ref="E588:F588"/>
    <mergeCell ref="E589:F589"/>
    <mergeCell ref="E590:F590"/>
    <mergeCell ref="E591:F591"/>
    <mergeCell ref="E592:F592"/>
    <mergeCell ref="E593:F593"/>
    <mergeCell ref="E582:F582"/>
    <mergeCell ref="E583:F583"/>
    <mergeCell ref="E584:F584"/>
    <mergeCell ref="E585:F585"/>
    <mergeCell ref="E586:F586"/>
    <mergeCell ref="E587:F587"/>
    <mergeCell ref="E576:F576"/>
    <mergeCell ref="E577:F577"/>
    <mergeCell ref="E578:F578"/>
    <mergeCell ref="E579:F579"/>
    <mergeCell ref="E580:F580"/>
    <mergeCell ref="E581:F581"/>
    <mergeCell ref="E570:F570"/>
    <mergeCell ref="E571:F571"/>
    <mergeCell ref="E572:F572"/>
    <mergeCell ref="E573:F573"/>
    <mergeCell ref="E574:F574"/>
    <mergeCell ref="E575:F575"/>
    <mergeCell ref="E564:F564"/>
    <mergeCell ref="E565:F565"/>
    <mergeCell ref="E566:F566"/>
    <mergeCell ref="E567:F567"/>
    <mergeCell ref="E568:F568"/>
    <mergeCell ref="E569:F569"/>
    <mergeCell ref="E558:F558"/>
    <mergeCell ref="E559:F559"/>
    <mergeCell ref="E560:F560"/>
    <mergeCell ref="E561:F561"/>
    <mergeCell ref="E562:F562"/>
    <mergeCell ref="E563:F563"/>
    <mergeCell ref="E552:F552"/>
    <mergeCell ref="E553:F553"/>
    <mergeCell ref="E554:F554"/>
    <mergeCell ref="E555:F555"/>
    <mergeCell ref="E556:F556"/>
    <mergeCell ref="E557:F557"/>
    <mergeCell ref="E546:F546"/>
    <mergeCell ref="E547:F547"/>
    <mergeCell ref="E548:F548"/>
    <mergeCell ref="E549:F549"/>
    <mergeCell ref="E550:F550"/>
    <mergeCell ref="E551:F551"/>
    <mergeCell ref="E540:F540"/>
    <mergeCell ref="E541:F541"/>
    <mergeCell ref="E542:F542"/>
    <mergeCell ref="E543:F543"/>
    <mergeCell ref="E544:F544"/>
    <mergeCell ref="E545:F545"/>
    <mergeCell ref="E534:F534"/>
    <mergeCell ref="E535:F535"/>
    <mergeCell ref="E536:F536"/>
    <mergeCell ref="E537:F537"/>
    <mergeCell ref="E538:F538"/>
    <mergeCell ref="E539:F539"/>
    <mergeCell ref="E528:F528"/>
    <mergeCell ref="E529:F529"/>
    <mergeCell ref="E530:F530"/>
    <mergeCell ref="E531:F531"/>
    <mergeCell ref="E532:F532"/>
    <mergeCell ref="E533:F533"/>
    <mergeCell ref="E522:F522"/>
    <mergeCell ref="E523:F523"/>
    <mergeCell ref="E524:F524"/>
    <mergeCell ref="E525:F525"/>
    <mergeCell ref="E526:F526"/>
    <mergeCell ref="E527:F527"/>
    <mergeCell ref="E516:F516"/>
    <mergeCell ref="E517:F517"/>
    <mergeCell ref="E518:F518"/>
    <mergeCell ref="E519:F519"/>
    <mergeCell ref="E520:F520"/>
    <mergeCell ref="E521:F521"/>
    <mergeCell ref="E510:F510"/>
    <mergeCell ref="E511:F511"/>
    <mergeCell ref="E512:F512"/>
    <mergeCell ref="E513:F513"/>
    <mergeCell ref="E514:F514"/>
    <mergeCell ref="E515:F515"/>
    <mergeCell ref="E504:F504"/>
    <mergeCell ref="E505:F505"/>
    <mergeCell ref="E506:F506"/>
    <mergeCell ref="E507:F507"/>
    <mergeCell ref="E508:F508"/>
    <mergeCell ref="E509:F509"/>
    <mergeCell ref="E498:F498"/>
    <mergeCell ref="E499:F499"/>
    <mergeCell ref="E500:F500"/>
    <mergeCell ref="E501:F501"/>
    <mergeCell ref="E502:F502"/>
    <mergeCell ref="E503:F503"/>
    <mergeCell ref="E492:F492"/>
    <mergeCell ref="E493:F493"/>
    <mergeCell ref="E494:F494"/>
    <mergeCell ref="E495:F495"/>
    <mergeCell ref="E496:F496"/>
    <mergeCell ref="E497:F497"/>
    <mergeCell ref="E486:F486"/>
    <mergeCell ref="E487:F487"/>
    <mergeCell ref="E488:F488"/>
    <mergeCell ref="E489:F489"/>
    <mergeCell ref="E490:F490"/>
    <mergeCell ref="E491:F491"/>
    <mergeCell ref="E480:F480"/>
    <mergeCell ref="E481:F481"/>
    <mergeCell ref="E482:F482"/>
    <mergeCell ref="E483:F483"/>
    <mergeCell ref="E484:F484"/>
    <mergeCell ref="E485:F485"/>
    <mergeCell ref="E474:F474"/>
    <mergeCell ref="E475:F475"/>
    <mergeCell ref="E476:F476"/>
    <mergeCell ref="E477:F477"/>
    <mergeCell ref="E478:F478"/>
    <mergeCell ref="E479:F479"/>
    <mergeCell ref="E468:F468"/>
    <mergeCell ref="E469:F469"/>
    <mergeCell ref="E470:F470"/>
    <mergeCell ref="E471:F471"/>
    <mergeCell ref="E472:F472"/>
    <mergeCell ref="E473:F473"/>
    <mergeCell ref="E462:F462"/>
    <mergeCell ref="E463:F463"/>
    <mergeCell ref="E464:F464"/>
    <mergeCell ref="E465:F465"/>
    <mergeCell ref="E466:F466"/>
    <mergeCell ref="E467:F467"/>
    <mergeCell ref="E456:F456"/>
    <mergeCell ref="E457:F457"/>
    <mergeCell ref="E458:F458"/>
    <mergeCell ref="E459:F459"/>
    <mergeCell ref="E460:F460"/>
    <mergeCell ref="E461:F461"/>
    <mergeCell ref="E450:F450"/>
    <mergeCell ref="E451:F451"/>
    <mergeCell ref="E452:F452"/>
    <mergeCell ref="E453:F453"/>
    <mergeCell ref="E454:F454"/>
    <mergeCell ref="E455:F455"/>
    <mergeCell ref="E444:F444"/>
    <mergeCell ref="E445:F445"/>
    <mergeCell ref="E446:F446"/>
    <mergeCell ref="E447:F447"/>
    <mergeCell ref="E448:F448"/>
    <mergeCell ref="E449:F449"/>
    <mergeCell ref="E438:F438"/>
    <mergeCell ref="E439:F439"/>
    <mergeCell ref="E440:F440"/>
    <mergeCell ref="E441:F441"/>
    <mergeCell ref="E442:F442"/>
    <mergeCell ref="E443:F443"/>
    <mergeCell ref="E432:F432"/>
    <mergeCell ref="E433:F433"/>
    <mergeCell ref="E434:F434"/>
    <mergeCell ref="E435:F435"/>
    <mergeCell ref="E436:F436"/>
    <mergeCell ref="E437:F437"/>
    <mergeCell ref="E426:F426"/>
    <mergeCell ref="E427:F427"/>
    <mergeCell ref="E428:F428"/>
    <mergeCell ref="E429:F429"/>
    <mergeCell ref="E430:F430"/>
    <mergeCell ref="E431:F431"/>
    <mergeCell ref="E420:F420"/>
    <mergeCell ref="E421:F421"/>
    <mergeCell ref="E422:F422"/>
    <mergeCell ref="E423:F423"/>
    <mergeCell ref="E424:F424"/>
    <mergeCell ref="E425:F425"/>
    <mergeCell ref="E414:F414"/>
    <mergeCell ref="E415:F415"/>
    <mergeCell ref="E416:F416"/>
    <mergeCell ref="E417:F417"/>
    <mergeCell ref="E418:F418"/>
    <mergeCell ref="E419:F419"/>
    <mergeCell ref="E408:F408"/>
    <mergeCell ref="E409:F409"/>
    <mergeCell ref="E410:F410"/>
    <mergeCell ref="E411:F411"/>
    <mergeCell ref="E412:F412"/>
    <mergeCell ref="E413:F413"/>
    <mergeCell ref="E402:F402"/>
    <mergeCell ref="E403:F403"/>
    <mergeCell ref="E404:F404"/>
    <mergeCell ref="E405:F405"/>
    <mergeCell ref="E406:F406"/>
    <mergeCell ref="E407:F407"/>
    <mergeCell ref="E396:F396"/>
    <mergeCell ref="E397:F397"/>
    <mergeCell ref="E398:F398"/>
    <mergeCell ref="E399:F399"/>
    <mergeCell ref="E400:F400"/>
    <mergeCell ref="E401:F401"/>
    <mergeCell ref="E390:F390"/>
    <mergeCell ref="E391:F391"/>
    <mergeCell ref="E392:F392"/>
    <mergeCell ref="E393:F393"/>
    <mergeCell ref="E394:F394"/>
    <mergeCell ref="E395:F395"/>
    <mergeCell ref="E384:F384"/>
    <mergeCell ref="E385:F385"/>
    <mergeCell ref="E386:F386"/>
    <mergeCell ref="E387:F387"/>
    <mergeCell ref="E388:F388"/>
    <mergeCell ref="E389:F389"/>
    <mergeCell ref="E378:F378"/>
    <mergeCell ref="E379:F379"/>
    <mergeCell ref="E380:F380"/>
    <mergeCell ref="E381:F381"/>
    <mergeCell ref="E382:F382"/>
    <mergeCell ref="E383:F383"/>
    <mergeCell ref="E372:F372"/>
    <mergeCell ref="E373:F373"/>
    <mergeCell ref="E374:F374"/>
    <mergeCell ref="E375:F375"/>
    <mergeCell ref="E376:F376"/>
    <mergeCell ref="E377:F377"/>
    <mergeCell ref="E366:F366"/>
    <mergeCell ref="E367:F367"/>
    <mergeCell ref="E368:F368"/>
    <mergeCell ref="E369:F369"/>
    <mergeCell ref="E370:F370"/>
    <mergeCell ref="E371:F371"/>
    <mergeCell ref="E360:F360"/>
    <mergeCell ref="E361:F361"/>
    <mergeCell ref="E362:F362"/>
    <mergeCell ref="E363:F363"/>
    <mergeCell ref="E364:F364"/>
    <mergeCell ref="E365:F365"/>
    <mergeCell ref="E354:F354"/>
    <mergeCell ref="E355:F355"/>
    <mergeCell ref="E356:F356"/>
    <mergeCell ref="E357:F357"/>
    <mergeCell ref="E358:F358"/>
    <mergeCell ref="E359:F359"/>
    <mergeCell ref="E348:F348"/>
    <mergeCell ref="E349:F349"/>
    <mergeCell ref="E350:F350"/>
    <mergeCell ref="E351:F351"/>
    <mergeCell ref="E352:F352"/>
    <mergeCell ref="E353:F353"/>
    <mergeCell ref="E342:F342"/>
    <mergeCell ref="E343:F343"/>
    <mergeCell ref="E344:F344"/>
    <mergeCell ref="E345:F345"/>
    <mergeCell ref="E346:F346"/>
    <mergeCell ref="E347:F347"/>
    <mergeCell ref="E336:F336"/>
    <mergeCell ref="E337:F337"/>
    <mergeCell ref="E338:F338"/>
    <mergeCell ref="E339:F339"/>
    <mergeCell ref="E340:F340"/>
    <mergeCell ref="E341:F341"/>
    <mergeCell ref="E330:F330"/>
    <mergeCell ref="E331:F331"/>
    <mergeCell ref="E332:F332"/>
    <mergeCell ref="E333:F333"/>
    <mergeCell ref="E334:F334"/>
    <mergeCell ref="E335:F335"/>
    <mergeCell ref="E324:F324"/>
    <mergeCell ref="E325:F325"/>
    <mergeCell ref="E326:F326"/>
    <mergeCell ref="E327:F327"/>
    <mergeCell ref="E328:F328"/>
    <mergeCell ref="E329:F329"/>
    <mergeCell ref="E318:F318"/>
    <mergeCell ref="E319:F319"/>
    <mergeCell ref="E320:F320"/>
    <mergeCell ref="E321:F321"/>
    <mergeCell ref="E322:F322"/>
    <mergeCell ref="E323:F323"/>
    <mergeCell ref="E312:F312"/>
    <mergeCell ref="E313:F313"/>
    <mergeCell ref="E314:F314"/>
    <mergeCell ref="E315:F315"/>
    <mergeCell ref="E316:F316"/>
    <mergeCell ref="E317:F317"/>
    <mergeCell ref="E306:F306"/>
    <mergeCell ref="E307:F307"/>
    <mergeCell ref="E308:F308"/>
    <mergeCell ref="E309:F309"/>
    <mergeCell ref="E310:F310"/>
    <mergeCell ref="E311:F311"/>
    <mergeCell ref="E300:F300"/>
    <mergeCell ref="E301:F301"/>
    <mergeCell ref="E302:F302"/>
    <mergeCell ref="E303:F303"/>
    <mergeCell ref="E304:F304"/>
    <mergeCell ref="E305:F305"/>
    <mergeCell ref="E293:F293"/>
    <mergeCell ref="E294:F294"/>
    <mergeCell ref="E295:F295"/>
    <mergeCell ref="E296:F296"/>
    <mergeCell ref="E298:F298"/>
    <mergeCell ref="E299:F299"/>
    <mergeCell ref="E287:F287"/>
    <mergeCell ref="E288:F288"/>
    <mergeCell ref="E289:F289"/>
    <mergeCell ref="E290:F290"/>
    <mergeCell ref="E291:F291"/>
    <mergeCell ref="E292:F292"/>
    <mergeCell ref="E297:F297"/>
    <mergeCell ref="E281:F281"/>
    <mergeCell ref="E282:F282"/>
    <mergeCell ref="E283:F283"/>
    <mergeCell ref="E284:F284"/>
    <mergeCell ref="E285:F285"/>
    <mergeCell ref="E286:F286"/>
    <mergeCell ref="E275:F275"/>
    <mergeCell ref="E276:F276"/>
    <mergeCell ref="E277:F277"/>
    <mergeCell ref="E278:F278"/>
    <mergeCell ref="E279:F279"/>
    <mergeCell ref="E280:F280"/>
    <mergeCell ref="E269:F269"/>
    <mergeCell ref="E270:F270"/>
    <mergeCell ref="E271:F271"/>
    <mergeCell ref="E272:F272"/>
    <mergeCell ref="E273:F273"/>
    <mergeCell ref="E274:F274"/>
    <mergeCell ref="E263:F263"/>
    <mergeCell ref="E264:F264"/>
    <mergeCell ref="E265:F265"/>
    <mergeCell ref="E266:F266"/>
    <mergeCell ref="E267:F267"/>
    <mergeCell ref="E268:F268"/>
    <mergeCell ref="E257:F257"/>
    <mergeCell ref="E258:F258"/>
    <mergeCell ref="E259:F259"/>
    <mergeCell ref="E260:F260"/>
    <mergeCell ref="E261:F261"/>
    <mergeCell ref="E262:F262"/>
    <mergeCell ref="E251:F251"/>
    <mergeCell ref="E252:F252"/>
    <mergeCell ref="E253:F253"/>
    <mergeCell ref="E254:F254"/>
    <mergeCell ref="E255:F255"/>
    <mergeCell ref="E256:F256"/>
    <mergeCell ref="E245:F245"/>
    <mergeCell ref="E246:F246"/>
    <mergeCell ref="E247:F247"/>
    <mergeCell ref="E248:F248"/>
    <mergeCell ref="E249:F249"/>
    <mergeCell ref="E250:F250"/>
    <mergeCell ref="E239:F239"/>
    <mergeCell ref="E240:F240"/>
    <mergeCell ref="E241:F241"/>
    <mergeCell ref="E242:F242"/>
    <mergeCell ref="E243:F243"/>
    <mergeCell ref="E244:F244"/>
    <mergeCell ref="E233:F233"/>
    <mergeCell ref="E234:F234"/>
    <mergeCell ref="E235:F235"/>
    <mergeCell ref="E236:F236"/>
    <mergeCell ref="E237:F237"/>
    <mergeCell ref="E238:F238"/>
    <mergeCell ref="E227:F227"/>
    <mergeCell ref="E228:F228"/>
    <mergeCell ref="E229:F229"/>
    <mergeCell ref="E230:F230"/>
    <mergeCell ref="E231:F231"/>
    <mergeCell ref="E232:F232"/>
    <mergeCell ref="E221:F221"/>
    <mergeCell ref="E222:F222"/>
    <mergeCell ref="E223:F223"/>
    <mergeCell ref="E224:F224"/>
    <mergeCell ref="E225:F225"/>
    <mergeCell ref="E226:F226"/>
    <mergeCell ref="E215:F215"/>
    <mergeCell ref="E216:F216"/>
    <mergeCell ref="E217:F217"/>
    <mergeCell ref="E218:F218"/>
    <mergeCell ref="E219:F219"/>
    <mergeCell ref="E220:F220"/>
    <mergeCell ref="E209:F209"/>
    <mergeCell ref="E210:F210"/>
    <mergeCell ref="E211:F211"/>
    <mergeCell ref="E212:F212"/>
    <mergeCell ref="E213:F213"/>
    <mergeCell ref="E214:F214"/>
    <mergeCell ref="E203:F203"/>
    <mergeCell ref="E204:F204"/>
    <mergeCell ref="E205:F205"/>
    <mergeCell ref="E206:F206"/>
    <mergeCell ref="E207:F207"/>
    <mergeCell ref="E208:F208"/>
    <mergeCell ref="E197:F197"/>
    <mergeCell ref="E198:F198"/>
    <mergeCell ref="E199:F199"/>
    <mergeCell ref="E200:F200"/>
    <mergeCell ref="E201:F201"/>
    <mergeCell ref="E202:F202"/>
    <mergeCell ref="E191:F191"/>
    <mergeCell ref="E192:F192"/>
    <mergeCell ref="E193:F193"/>
    <mergeCell ref="E194:F194"/>
    <mergeCell ref="E195:F195"/>
    <mergeCell ref="E196:F196"/>
    <mergeCell ref="E185:F185"/>
    <mergeCell ref="E186:F186"/>
    <mergeCell ref="E187:F187"/>
    <mergeCell ref="E188:F188"/>
    <mergeCell ref="E189:F189"/>
    <mergeCell ref="E190:F190"/>
    <mergeCell ref="E179:F179"/>
    <mergeCell ref="E180:F180"/>
    <mergeCell ref="E181:F181"/>
    <mergeCell ref="E182:F182"/>
    <mergeCell ref="E183:F183"/>
    <mergeCell ref="E184:F184"/>
    <mergeCell ref="E173:F173"/>
    <mergeCell ref="E174:F174"/>
    <mergeCell ref="E175:F175"/>
    <mergeCell ref="E176:F176"/>
    <mergeCell ref="E177:F177"/>
    <mergeCell ref="E178:F178"/>
    <mergeCell ref="E167:F167"/>
    <mergeCell ref="E168:F168"/>
    <mergeCell ref="E169:F169"/>
    <mergeCell ref="E170:F170"/>
    <mergeCell ref="E171:F171"/>
    <mergeCell ref="E172:F172"/>
    <mergeCell ref="E161:F161"/>
    <mergeCell ref="E162:F162"/>
    <mergeCell ref="E163:F163"/>
    <mergeCell ref="E164:F164"/>
    <mergeCell ref="E165:F165"/>
    <mergeCell ref="E166:F166"/>
    <mergeCell ref="E155:F155"/>
    <mergeCell ref="E156:F156"/>
    <mergeCell ref="E157:F157"/>
    <mergeCell ref="E158:F158"/>
    <mergeCell ref="E159:F159"/>
    <mergeCell ref="E160:F160"/>
    <mergeCell ref="E149:F149"/>
    <mergeCell ref="E150:F150"/>
    <mergeCell ref="E151:F151"/>
    <mergeCell ref="E152:F152"/>
    <mergeCell ref="E153:F153"/>
    <mergeCell ref="E154:F154"/>
    <mergeCell ref="E143:F143"/>
    <mergeCell ref="E144:F144"/>
    <mergeCell ref="E145:F145"/>
    <mergeCell ref="E146:F146"/>
    <mergeCell ref="E147:F147"/>
    <mergeCell ref="E148:F148"/>
    <mergeCell ref="E137:F137"/>
    <mergeCell ref="E138:F138"/>
    <mergeCell ref="E139:F139"/>
    <mergeCell ref="E140:F140"/>
    <mergeCell ref="E141:F141"/>
    <mergeCell ref="E142:F142"/>
    <mergeCell ref="E131:F131"/>
    <mergeCell ref="E132:F132"/>
    <mergeCell ref="E133:F133"/>
    <mergeCell ref="E134:F134"/>
    <mergeCell ref="E135:F135"/>
    <mergeCell ref="E136:F136"/>
    <mergeCell ref="E125:F125"/>
    <mergeCell ref="E126:F126"/>
    <mergeCell ref="E127:F127"/>
    <mergeCell ref="E128:F128"/>
    <mergeCell ref="E129:F129"/>
    <mergeCell ref="E130:F130"/>
    <mergeCell ref="E119:F119"/>
    <mergeCell ref="E120:F120"/>
    <mergeCell ref="E121:F121"/>
    <mergeCell ref="E122:F122"/>
    <mergeCell ref="E123:F123"/>
    <mergeCell ref="E124:F124"/>
    <mergeCell ref="E113:F113"/>
    <mergeCell ref="E114:F114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E111:F111"/>
    <mergeCell ref="E112:F112"/>
    <mergeCell ref="E101:F101"/>
    <mergeCell ref="E102:F102"/>
    <mergeCell ref="E103:F103"/>
    <mergeCell ref="E104:F104"/>
    <mergeCell ref="E105:F105"/>
    <mergeCell ref="E106:F106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E52:F52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D2:M2"/>
    <mergeCell ref="C5:D5"/>
    <mergeCell ref="E5:E7"/>
    <mergeCell ref="E14:F14"/>
    <mergeCell ref="E15:F15"/>
    <mergeCell ref="E16:F16"/>
  </mergeCells>
  <conditionalFormatting sqref="E15:E95 E98:E129 E268:E283 E322:E474 E476:E611 E613:E785 E787:E824 E131:E139 E141:E237 E241:E266 E285:E296 E826:E840 E298:E320">
    <cfRule type="expression" dxfId="375" priority="72">
      <formula>AND(#REF!=0,#REF!=1,LEFT($A15,1)="A")</formula>
    </cfRule>
    <cfRule type="expression" dxfId="374" priority="73">
      <formula>#REF!=3</formula>
    </cfRule>
    <cfRule type="expression" dxfId="373" priority="74">
      <formula>#REF!=2</formula>
    </cfRule>
    <cfRule type="expression" dxfId="372" priority="75">
      <formula>AND(#REF!=1,OR(#REF!&lt;&gt;0,LEFT($A15,1)="I",LEFT($A15,1)="C",RIGHT($A15,1)="X"))</formula>
    </cfRule>
    <cfRule type="expression" dxfId="371" priority="76">
      <formula>#REF!=0</formula>
    </cfRule>
  </conditionalFormatting>
  <conditionalFormatting sqref="E5">
    <cfRule type="expression" dxfId="370" priority="71" stopIfTrue="1">
      <formula>#REF!=#REF!</formula>
    </cfRule>
  </conditionalFormatting>
  <conditionalFormatting sqref="E96:E97">
    <cfRule type="expression" dxfId="369" priority="66">
      <formula>AND(#REF!=0,#REF!=1,LEFT($A96,1)="A")</formula>
    </cfRule>
    <cfRule type="expression" dxfId="368" priority="67">
      <formula>#REF!=3</formula>
    </cfRule>
    <cfRule type="expression" dxfId="367" priority="68">
      <formula>#REF!=2</formula>
    </cfRule>
    <cfRule type="expression" dxfId="366" priority="69">
      <formula>AND(#REF!=1,OR(#REF!&lt;&gt;0,LEFT($A96,1)="I",LEFT($A96,1)="C",RIGHT($A96,1)="X"))</formula>
    </cfRule>
    <cfRule type="expression" dxfId="365" priority="70">
      <formula>#REF!=0</formula>
    </cfRule>
  </conditionalFormatting>
  <conditionalFormatting sqref="E267">
    <cfRule type="expression" dxfId="364" priority="61">
      <formula>AND(#REF!=0,#REF!=1,LEFT($A267,1)="A")</formula>
    </cfRule>
    <cfRule type="expression" dxfId="363" priority="62">
      <formula>#REF!=3</formula>
    </cfRule>
    <cfRule type="expression" dxfId="362" priority="63">
      <formula>#REF!=2</formula>
    </cfRule>
    <cfRule type="expression" dxfId="361" priority="64">
      <formula>AND(#REF!=1,OR(#REF!&lt;&gt;0,LEFT($A267,1)="I",LEFT($A267,1)="C",RIGHT($A267,1)="X"))</formula>
    </cfRule>
    <cfRule type="expression" dxfId="360" priority="65">
      <formula>#REF!=0</formula>
    </cfRule>
  </conditionalFormatting>
  <conditionalFormatting sqref="E321">
    <cfRule type="expression" dxfId="359" priority="56">
      <formula>AND(#REF!=0,#REF!=1,LEFT($A321,1)="A")</formula>
    </cfRule>
    <cfRule type="expression" dxfId="358" priority="57">
      <formula>#REF!=3</formula>
    </cfRule>
    <cfRule type="expression" dxfId="357" priority="58">
      <formula>#REF!=2</formula>
    </cfRule>
    <cfRule type="expression" dxfId="356" priority="59">
      <formula>AND(#REF!=1,OR(#REF!&lt;&gt;0,LEFT($A321,1)="I",LEFT($A321,1)="C",RIGHT($A321,1)="X"))</formula>
    </cfRule>
    <cfRule type="expression" dxfId="355" priority="60">
      <formula>#REF!=0</formula>
    </cfRule>
  </conditionalFormatting>
  <conditionalFormatting sqref="E475">
    <cfRule type="expression" dxfId="354" priority="51">
      <formula>AND(#REF!=0,#REF!=1,LEFT($A475,1)="A")</formula>
    </cfRule>
    <cfRule type="expression" dxfId="353" priority="52">
      <formula>#REF!=3</formula>
    </cfRule>
    <cfRule type="expression" dxfId="352" priority="53">
      <formula>#REF!=2</formula>
    </cfRule>
    <cfRule type="expression" dxfId="351" priority="54">
      <formula>AND(#REF!=1,OR(#REF!&lt;&gt;0,LEFT($A475,1)="I",LEFT($A475,1)="C",RIGHT($A475,1)="X"))</formula>
    </cfRule>
    <cfRule type="expression" dxfId="350" priority="55">
      <formula>#REF!=0</formula>
    </cfRule>
  </conditionalFormatting>
  <conditionalFormatting sqref="E612">
    <cfRule type="expression" dxfId="349" priority="41">
      <formula>AND(#REF!=0,#REF!=1,LEFT($A612,1)="A")</formula>
    </cfRule>
    <cfRule type="expression" dxfId="348" priority="42">
      <formula>#REF!=3</formula>
    </cfRule>
    <cfRule type="expression" dxfId="347" priority="43">
      <formula>#REF!=2</formula>
    </cfRule>
    <cfRule type="expression" dxfId="346" priority="44">
      <formula>AND(#REF!=1,OR(#REF!&lt;&gt;0,LEFT($A612,1)="I",LEFT($A612,1)="C",RIGHT($A612,1)="X"))</formula>
    </cfRule>
    <cfRule type="expression" dxfId="345" priority="45">
      <formula>#REF!=0</formula>
    </cfRule>
  </conditionalFormatting>
  <conditionalFormatting sqref="E786">
    <cfRule type="expression" dxfId="344" priority="36">
      <formula>AND(#REF!=0,#REF!=1,LEFT($A786,1)="A")</formula>
    </cfRule>
    <cfRule type="expression" dxfId="343" priority="37">
      <formula>#REF!=3</formula>
    </cfRule>
    <cfRule type="expression" dxfId="342" priority="38">
      <formula>#REF!=2</formula>
    </cfRule>
    <cfRule type="expression" dxfId="341" priority="39">
      <formula>AND(#REF!=1,OR(#REF!&lt;&gt;0,LEFT($A786,1)="I",LEFT($A786,1)="C",RIGHT($A786,1)="X"))</formula>
    </cfRule>
    <cfRule type="expression" dxfId="340" priority="40">
      <formula>#REF!=0</formula>
    </cfRule>
  </conditionalFormatting>
  <conditionalFormatting sqref="E130">
    <cfRule type="expression" dxfId="339" priority="31">
      <formula>AND(#REF!=0,#REF!=1,LEFT($A130,1)="A")</formula>
    </cfRule>
    <cfRule type="expression" dxfId="338" priority="32">
      <formula>#REF!=3</formula>
    </cfRule>
    <cfRule type="expression" dxfId="337" priority="33">
      <formula>#REF!=2</formula>
    </cfRule>
    <cfRule type="expression" dxfId="336" priority="34">
      <formula>AND(#REF!=1,OR(#REF!&lt;&gt;0,LEFT($A130,1)="I",LEFT($A130,1)="C",RIGHT($A130,1)="X"))</formula>
    </cfRule>
    <cfRule type="expression" dxfId="335" priority="35">
      <formula>#REF!=0</formula>
    </cfRule>
  </conditionalFormatting>
  <conditionalFormatting sqref="E140">
    <cfRule type="expression" dxfId="334" priority="26">
      <formula>AND(#REF!=0,#REF!=1,LEFT($A140,1)="A")</formula>
    </cfRule>
    <cfRule type="expression" dxfId="333" priority="27">
      <formula>#REF!=3</formula>
    </cfRule>
    <cfRule type="expression" dxfId="332" priority="28">
      <formula>#REF!=2</formula>
    </cfRule>
    <cfRule type="expression" dxfId="331" priority="29">
      <formula>AND(#REF!=1,OR(#REF!&lt;&gt;0,LEFT($A140,1)="I",LEFT($A140,1)="C",RIGHT($A140,1)="X"))</formula>
    </cfRule>
    <cfRule type="expression" dxfId="330" priority="30">
      <formula>#REF!=0</formula>
    </cfRule>
  </conditionalFormatting>
  <conditionalFormatting sqref="E238:E240">
    <cfRule type="expression" dxfId="329" priority="21">
      <formula>AND(#REF!=0,#REF!=1,LEFT($A238,1)="A")</formula>
    </cfRule>
    <cfRule type="expression" dxfId="328" priority="22">
      <formula>#REF!=3</formula>
    </cfRule>
    <cfRule type="expression" dxfId="327" priority="23">
      <formula>#REF!=2</formula>
    </cfRule>
    <cfRule type="expression" dxfId="326" priority="24">
      <formula>AND(#REF!=1,OR(#REF!&lt;&gt;0,LEFT($A238,1)="I",LEFT($A238,1)="C",RIGHT($A238,1)="X"))</formula>
    </cfRule>
    <cfRule type="expression" dxfId="325" priority="25">
      <formula>#REF!=0</formula>
    </cfRule>
  </conditionalFormatting>
  <conditionalFormatting sqref="E284">
    <cfRule type="expression" dxfId="324" priority="16">
      <formula>AND(#REF!=0,#REF!=1,LEFT($A284,1)="A")</formula>
    </cfRule>
    <cfRule type="expression" dxfId="323" priority="17">
      <formula>#REF!=3</formula>
    </cfRule>
    <cfRule type="expression" dxfId="322" priority="18">
      <formula>#REF!=2</formula>
    </cfRule>
    <cfRule type="expression" dxfId="321" priority="19">
      <formula>AND(#REF!=1,OR(#REF!&lt;&gt;0,LEFT($A284,1)="I",LEFT($A284,1)="C",RIGHT($A284,1)="X"))</formula>
    </cfRule>
    <cfRule type="expression" dxfId="320" priority="20">
      <formula>#REF!=0</formula>
    </cfRule>
  </conditionalFormatting>
  <conditionalFormatting sqref="E13">
    <cfRule type="expression" dxfId="319" priority="11">
      <formula>AND(#REF!=0,#REF!=1,LEFT($A14,1)="A")</formula>
    </cfRule>
    <cfRule type="expression" dxfId="318" priority="12">
      <formula>#REF!=3</formula>
    </cfRule>
    <cfRule type="expression" dxfId="317" priority="13">
      <formula>#REF!=2</formula>
    </cfRule>
    <cfRule type="expression" dxfId="316" priority="14">
      <formula>AND(#REF!=1,OR(#REF!&lt;&gt;0,LEFT($A14,1)="I",LEFT($A14,1)="C",RIGHT($A14,1)="X"))</formula>
    </cfRule>
    <cfRule type="expression" dxfId="315" priority="15">
      <formula>#REF!=0</formula>
    </cfRule>
  </conditionalFormatting>
  <conditionalFormatting sqref="E825">
    <cfRule type="expression" dxfId="314" priority="6">
      <formula>AND(#REF!=0,#REF!=1,LEFT($A825,1)="A")</formula>
    </cfRule>
    <cfRule type="expression" dxfId="313" priority="7">
      <formula>#REF!=3</formula>
    </cfRule>
    <cfRule type="expression" dxfId="312" priority="8">
      <formula>#REF!=2</formula>
    </cfRule>
    <cfRule type="expression" dxfId="311" priority="9">
      <formula>AND(#REF!=1,OR(#REF!&lt;&gt;0,LEFT($A825,1)="I",LEFT($A825,1)="C",RIGHT($A825,1)="X"))</formula>
    </cfRule>
    <cfRule type="expression" dxfId="310" priority="10">
      <formula>#REF!=0</formula>
    </cfRule>
  </conditionalFormatting>
  <conditionalFormatting sqref="E297">
    <cfRule type="expression" dxfId="309" priority="1">
      <formula>AND(#REF!=0,#REF!=1,LEFT($A297,1)="A")</formula>
    </cfRule>
    <cfRule type="expression" dxfId="308" priority="2">
      <formula>#REF!=3</formula>
    </cfRule>
    <cfRule type="expression" dxfId="307" priority="3">
      <formula>#REF!=2</formula>
    </cfRule>
    <cfRule type="expression" dxfId="306" priority="4">
      <formula>AND(#REF!=1,OR(#REF!&lt;&gt;0,LEFT($A297,1)="I",LEFT($A297,1)="C",RIGHT($A297,1)="X"))</formula>
    </cfRule>
    <cfRule type="expression" dxfId="305" priority="5">
      <formula>#REF!=0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31"/>
  <sheetViews>
    <sheetView zoomScaleNormal="100" workbookViewId="0">
      <selection activeCell="I27" sqref="I27"/>
    </sheetView>
  </sheetViews>
  <sheetFormatPr defaultRowHeight="15" x14ac:dyDescent="0.25"/>
  <cols>
    <col min="7" max="10" width="19.7109375" customWidth="1"/>
  </cols>
  <sheetData>
    <row r="2" spans="2:10" hidden="1" x14ac:dyDescent="0.25">
      <c r="B2" s="403" t="s">
        <v>1799</v>
      </c>
      <c r="G2" t="s">
        <v>1753</v>
      </c>
    </row>
    <row r="3" spans="2:10" hidden="1" x14ac:dyDescent="0.25">
      <c r="B3" s="403"/>
      <c r="G3" t="s">
        <v>1755</v>
      </c>
      <c r="H3" t="s">
        <v>1756</v>
      </c>
      <c r="I3" t="s">
        <v>1757</v>
      </c>
      <c r="J3" t="s">
        <v>1754</v>
      </c>
    </row>
    <row r="4" spans="2:10" hidden="1" x14ac:dyDescent="0.25">
      <c r="B4" s="403"/>
      <c r="D4" t="s">
        <v>1752</v>
      </c>
      <c r="G4" s="67">
        <f>387039419+3500000</f>
        <v>390539419</v>
      </c>
      <c r="H4" s="67">
        <v>1397870000</v>
      </c>
      <c r="I4" s="67">
        <v>172081800</v>
      </c>
      <c r="J4" s="67">
        <v>1051431262</v>
      </c>
    </row>
    <row r="5" spans="2:10" hidden="1" x14ac:dyDescent="0.25">
      <c r="B5" s="403"/>
      <c r="G5" s="67"/>
    </row>
    <row r="6" spans="2:10" hidden="1" x14ac:dyDescent="0.25">
      <c r="B6" s="403"/>
      <c r="D6" s="195" t="s">
        <v>1763</v>
      </c>
      <c r="E6" s="195"/>
      <c r="F6" s="195"/>
      <c r="G6" s="196">
        <f>+G4-14000000</f>
        <v>376539419</v>
      </c>
      <c r="H6" s="196">
        <f>+H4-47870000</f>
        <v>1350000000</v>
      </c>
      <c r="I6" s="196">
        <f>+I4-58067000</f>
        <v>114014800</v>
      </c>
      <c r="J6" s="196">
        <f>+J4-17745777</f>
        <v>1033685485</v>
      </c>
    </row>
    <row r="7" spans="2:10" hidden="1" x14ac:dyDescent="0.25">
      <c r="B7" s="403"/>
      <c r="D7" s="195"/>
      <c r="E7" s="195"/>
      <c r="F7" s="195"/>
      <c r="G7" s="195"/>
      <c r="H7" s="195"/>
      <c r="I7" s="195"/>
      <c r="J7" s="195"/>
    </row>
    <row r="8" spans="2:10" hidden="1" x14ac:dyDescent="0.25">
      <c r="B8" s="403"/>
      <c r="D8" s="195" t="s">
        <v>1760</v>
      </c>
      <c r="E8" s="195"/>
      <c r="F8" s="195"/>
      <c r="G8" s="196">
        <v>0</v>
      </c>
      <c r="H8" s="195"/>
      <c r="I8" s="195"/>
      <c r="J8" s="195"/>
    </row>
    <row r="9" spans="2:10" hidden="1" x14ac:dyDescent="0.25">
      <c r="B9" s="403"/>
    </row>
    <row r="10" spans="2:10" hidden="1" x14ac:dyDescent="0.25">
      <c r="B10" s="403"/>
      <c r="D10" t="s">
        <v>1758</v>
      </c>
      <c r="E10" t="s">
        <v>1761</v>
      </c>
      <c r="G10" s="67">
        <v>338633130</v>
      </c>
      <c r="H10" s="67">
        <v>1182400000</v>
      </c>
      <c r="I10" s="67">
        <v>56721430</v>
      </c>
      <c r="J10" s="67">
        <v>978174609</v>
      </c>
    </row>
    <row r="11" spans="2:10" hidden="1" x14ac:dyDescent="0.25">
      <c r="B11" s="403"/>
      <c r="E11" t="s">
        <v>1759</v>
      </c>
      <c r="G11" s="67">
        <v>353995852</v>
      </c>
      <c r="H11" s="67">
        <v>1210500000</v>
      </c>
      <c r="I11" s="67">
        <v>61683292</v>
      </c>
      <c r="J11" s="67">
        <v>993060499</v>
      </c>
    </row>
    <row r="12" spans="2:10" hidden="1" x14ac:dyDescent="0.25">
      <c r="B12" s="403"/>
    </row>
    <row r="13" spans="2:10" hidden="1" x14ac:dyDescent="0.25">
      <c r="B13" s="403"/>
      <c r="D13" s="193" t="s">
        <v>1762</v>
      </c>
      <c r="E13" s="193"/>
      <c r="F13" s="193"/>
      <c r="G13" s="193"/>
      <c r="H13" s="193"/>
      <c r="I13" s="193"/>
      <c r="J13" s="193"/>
    </row>
    <row r="14" spans="2:10" hidden="1" x14ac:dyDescent="0.25">
      <c r="B14" s="403"/>
      <c r="D14" s="193"/>
      <c r="E14" s="193" t="s">
        <v>1761</v>
      </c>
      <c r="F14" s="193"/>
      <c r="G14" s="194">
        <f>+G6+G8-G10</f>
        <v>37906289</v>
      </c>
      <c r="H14" s="194"/>
      <c r="I14" s="194"/>
      <c r="J14" s="194">
        <f>+J6+J8-J10</f>
        <v>55510876</v>
      </c>
    </row>
    <row r="15" spans="2:10" hidden="1" x14ac:dyDescent="0.25">
      <c r="B15" s="403"/>
      <c r="D15" s="193"/>
      <c r="E15" s="193" t="s">
        <v>1759</v>
      </c>
      <c r="F15" s="193"/>
      <c r="G15" s="194">
        <f>+G6+G8-G11</f>
        <v>22543567</v>
      </c>
      <c r="H15" s="194"/>
      <c r="I15" s="194"/>
      <c r="J15" s="194">
        <f>+J6+J8-J11</f>
        <v>40624986</v>
      </c>
    </row>
    <row r="16" spans="2:10" hidden="1" x14ac:dyDescent="0.25"/>
    <row r="17" spans="6:9" hidden="1" x14ac:dyDescent="0.25">
      <c r="G17" s="201">
        <f>+G11+10000000+10000000+3500000+(3000000-564652)</f>
        <v>379931200</v>
      </c>
    </row>
    <row r="18" spans="6:9" ht="21" x14ac:dyDescent="0.35">
      <c r="F18" s="200" t="s">
        <v>1753</v>
      </c>
      <c r="G18" t="s">
        <v>1764</v>
      </c>
    </row>
    <row r="19" spans="6:9" x14ac:dyDescent="0.25">
      <c r="G19" t="s">
        <v>1765</v>
      </c>
      <c r="I19" s="201">
        <v>353995852</v>
      </c>
    </row>
    <row r="20" spans="6:9" x14ac:dyDescent="0.25">
      <c r="G20" t="s">
        <v>1760</v>
      </c>
      <c r="I20" s="67">
        <v>3500000</v>
      </c>
    </row>
    <row r="21" spans="6:9" x14ac:dyDescent="0.25">
      <c r="G21" t="s">
        <v>1766</v>
      </c>
      <c r="I21" s="67">
        <v>10000000</v>
      </c>
    </row>
    <row r="22" spans="6:9" x14ac:dyDescent="0.25">
      <c r="G22" t="s">
        <v>1767</v>
      </c>
      <c r="I22" s="67">
        <v>10000000</v>
      </c>
    </row>
    <row r="23" spans="6:9" x14ac:dyDescent="0.25">
      <c r="G23" t="s">
        <v>1768</v>
      </c>
      <c r="I23" s="67">
        <f>3000000-564652+68800</f>
        <v>2504148</v>
      </c>
    </row>
    <row r="24" spans="6:9" x14ac:dyDescent="0.25">
      <c r="I24" s="201">
        <f>SUM(I19:I23)</f>
        <v>380000000</v>
      </c>
    </row>
    <row r="25" spans="6:9" x14ac:dyDescent="0.25">
      <c r="I25" s="67"/>
    </row>
    <row r="27" spans="6:9" ht="18.75" x14ac:dyDescent="0.3">
      <c r="F27" s="199" t="s">
        <v>1769</v>
      </c>
      <c r="G27" t="s">
        <v>1765</v>
      </c>
      <c r="I27" s="201">
        <v>993060499</v>
      </c>
    </row>
    <row r="28" spans="6:9" x14ac:dyDescent="0.25">
      <c r="G28" t="s">
        <v>1766</v>
      </c>
      <c r="I28" s="67">
        <v>20000000</v>
      </c>
    </row>
    <row r="29" spans="6:9" x14ac:dyDescent="0.25">
      <c r="G29" t="s">
        <v>1767</v>
      </c>
      <c r="I29" s="67">
        <v>20000000</v>
      </c>
    </row>
    <row r="30" spans="6:9" x14ac:dyDescent="0.25">
      <c r="G30" t="s">
        <v>1768</v>
      </c>
      <c r="I30" s="67">
        <f>5161540-3222039</f>
        <v>1939501</v>
      </c>
    </row>
    <row r="31" spans="6:9" x14ac:dyDescent="0.25">
      <c r="I31" s="67">
        <f>SUM(I27:I30)</f>
        <v>1035000000</v>
      </c>
    </row>
  </sheetData>
  <mergeCells count="1">
    <mergeCell ref="B2:B15"/>
  </mergeCells>
  <pageMargins left="0.7" right="0.7" top="0.78740157499999996" bottom="0.78740157499999996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03543-95CE-4B85-868C-B80D2D0D0E4B}">
  <sheetPr>
    <pageSetUpPr fitToPage="1"/>
  </sheetPr>
  <dimension ref="A2:S65"/>
  <sheetViews>
    <sheetView showGridLines="0" workbookViewId="0">
      <selection activeCell="C9" sqref="C9"/>
    </sheetView>
  </sheetViews>
  <sheetFormatPr defaultRowHeight="15" x14ac:dyDescent="0.25"/>
  <cols>
    <col min="1" max="2" width="2.140625" style="417" customWidth="1"/>
    <col min="3" max="3" width="11.42578125" style="330" customWidth="1"/>
    <col min="4" max="4" width="33.5703125" style="330" customWidth="1"/>
    <col min="5" max="5" width="13.85546875" style="330" customWidth="1"/>
    <col min="6" max="6" width="12.28515625" style="330" customWidth="1"/>
    <col min="7" max="7" width="19.7109375" style="330" hidden="1" customWidth="1"/>
    <col min="8" max="8" width="23.28515625" style="330" customWidth="1"/>
    <col min="9" max="9" width="19.7109375" style="330" customWidth="1"/>
    <col min="10" max="10" width="23.28515625" style="330" customWidth="1"/>
    <col min="11" max="17" width="9.140625" style="330" customWidth="1"/>
    <col min="18" max="19" width="0" style="330" hidden="1" customWidth="1"/>
    <col min="20" max="16384" width="9.140625" style="330"/>
  </cols>
  <sheetData>
    <row r="2" spans="1:19" ht="4.5" customHeight="1" x14ac:dyDescent="0.25"/>
    <row r="3" spans="1:19" ht="29.25" customHeight="1" x14ac:dyDescent="0.25">
      <c r="C3" s="418" t="s">
        <v>1963</v>
      </c>
      <c r="D3" s="419"/>
      <c r="E3" s="419"/>
      <c r="F3" s="419"/>
      <c r="G3" s="419"/>
      <c r="H3" s="420"/>
      <c r="I3" s="421"/>
      <c r="J3" s="421"/>
      <c r="K3" s="421"/>
      <c r="L3" s="421"/>
      <c r="M3" s="421"/>
      <c r="N3" s="421"/>
      <c r="O3" s="421"/>
      <c r="P3" s="421"/>
      <c r="Q3" s="421"/>
      <c r="R3" s="422"/>
      <c r="S3" s="422"/>
    </row>
    <row r="4" spans="1:19" ht="4.5" customHeight="1" x14ac:dyDescent="0.25">
      <c r="C4" s="423"/>
      <c r="D4" s="423"/>
      <c r="E4" s="423"/>
      <c r="F4" s="423"/>
      <c r="G4" s="423"/>
      <c r="I4" s="421"/>
      <c r="J4" s="421"/>
      <c r="K4" s="421"/>
      <c r="L4" s="421"/>
      <c r="M4" s="421"/>
      <c r="N4" s="421"/>
      <c r="O4" s="421"/>
      <c r="P4" s="421"/>
      <c r="Q4" s="421"/>
      <c r="R4" s="422"/>
      <c r="S4" s="422"/>
    </row>
    <row r="5" spans="1:19" ht="12.75" customHeight="1" x14ac:dyDescent="0.25">
      <c r="C5" s="424" t="s">
        <v>1964</v>
      </c>
      <c r="G5" s="425"/>
      <c r="I5" s="421"/>
      <c r="J5" s="421"/>
      <c r="K5" s="421"/>
      <c r="L5" s="421"/>
      <c r="M5" s="421"/>
      <c r="N5" s="421"/>
      <c r="O5" s="421"/>
      <c r="P5" s="421"/>
      <c r="Q5" s="421"/>
      <c r="R5" s="422"/>
      <c r="S5" s="422"/>
    </row>
    <row r="6" spans="1:19" ht="4.5" customHeight="1" x14ac:dyDescent="0.25">
      <c r="C6" s="424"/>
      <c r="G6" s="425"/>
      <c r="I6" s="421"/>
      <c r="J6" s="421"/>
      <c r="K6" s="421"/>
      <c r="L6" s="421"/>
      <c r="M6" s="421"/>
      <c r="N6" s="421"/>
      <c r="O6" s="421"/>
      <c r="P6" s="421"/>
      <c r="Q6" s="421"/>
      <c r="R6" s="422"/>
      <c r="S6" s="422"/>
    </row>
    <row r="7" spans="1:19" ht="12" customHeight="1" x14ac:dyDescent="0.25">
      <c r="C7" s="426"/>
      <c r="D7" s="424"/>
      <c r="E7" s="424"/>
      <c r="F7" s="424"/>
      <c r="G7" s="425"/>
      <c r="I7" s="421"/>
      <c r="J7" s="421"/>
      <c r="K7" s="421"/>
      <c r="L7" s="421"/>
      <c r="M7" s="421"/>
      <c r="N7" s="421"/>
      <c r="O7" s="421"/>
      <c r="P7" s="421"/>
      <c r="Q7" s="421"/>
      <c r="R7" s="422"/>
      <c r="S7" s="422"/>
    </row>
    <row r="8" spans="1:19" ht="4.5" customHeight="1" x14ac:dyDescent="0.25">
      <c r="C8" s="425"/>
      <c r="D8" s="425"/>
      <c r="E8" s="425"/>
      <c r="F8" s="425"/>
      <c r="G8" s="425"/>
      <c r="I8" s="421"/>
      <c r="J8" s="421"/>
      <c r="K8" s="421"/>
      <c r="L8" s="421"/>
      <c r="M8" s="421"/>
      <c r="N8" s="421"/>
      <c r="O8" s="421"/>
      <c r="P8" s="421"/>
      <c r="Q8" s="421"/>
      <c r="R8" s="422"/>
      <c r="S8" s="422"/>
    </row>
    <row r="9" spans="1:19" ht="57.75" customHeight="1" x14ac:dyDescent="0.25">
      <c r="C9" s="427" t="s">
        <v>1965</v>
      </c>
      <c r="D9" s="427" t="s">
        <v>1966</v>
      </c>
      <c r="E9" s="428"/>
      <c r="F9" s="429"/>
      <c r="G9" s="430" t="s">
        <v>1967</v>
      </c>
      <c r="H9" s="430" t="s">
        <v>1968</v>
      </c>
      <c r="I9" s="421"/>
      <c r="J9" s="421"/>
      <c r="K9" s="421"/>
      <c r="L9" s="421"/>
      <c r="M9" s="421"/>
      <c r="N9" s="421"/>
      <c r="O9" s="421"/>
      <c r="P9" s="421"/>
      <c r="Q9" s="421"/>
      <c r="R9" s="422"/>
      <c r="S9" s="422"/>
    </row>
    <row r="10" spans="1:19" ht="12.75" customHeight="1" x14ac:dyDescent="0.25">
      <c r="A10" s="431">
        <v>1</v>
      </c>
      <c r="B10" s="431">
        <v>4</v>
      </c>
      <c r="C10" s="432" t="s">
        <v>10</v>
      </c>
      <c r="D10" s="433" t="s">
        <v>1969</v>
      </c>
      <c r="E10" s="434"/>
      <c r="F10" s="435"/>
      <c r="G10" s="436">
        <v>-7718184107.8073301</v>
      </c>
      <c r="H10" s="436">
        <f>+G10/1000*-1</f>
        <v>7718184.1078073299</v>
      </c>
      <c r="I10" s="437"/>
      <c r="J10" s="437"/>
      <c r="K10" s="437"/>
      <c r="L10" s="437"/>
      <c r="M10" s="437"/>
      <c r="N10" s="437"/>
      <c r="O10" s="437"/>
      <c r="P10" s="437"/>
      <c r="Q10" s="437"/>
      <c r="R10" s="438"/>
      <c r="S10" s="438"/>
    </row>
    <row r="11" spans="1:19" ht="12.75" customHeight="1" x14ac:dyDescent="0.25">
      <c r="A11" s="431">
        <v>2</v>
      </c>
      <c r="B11" s="431">
        <v>3</v>
      </c>
      <c r="C11" s="432" t="s">
        <v>11</v>
      </c>
      <c r="D11" s="433" t="s">
        <v>12</v>
      </c>
      <c r="E11" s="434"/>
      <c r="F11" s="435"/>
      <c r="G11" s="436">
        <v>-3453995256.1125998</v>
      </c>
      <c r="H11" s="436">
        <f t="shared" ref="H11:H55" si="0">+G11/1000*-1</f>
        <v>3453995.2561125997</v>
      </c>
      <c r="I11" s="437"/>
      <c r="J11" s="437"/>
      <c r="K11" s="437"/>
      <c r="L11" s="437"/>
      <c r="M11" s="437"/>
      <c r="N11" s="437"/>
      <c r="O11" s="437"/>
      <c r="P11" s="437"/>
      <c r="Q11" s="437"/>
      <c r="R11" s="438"/>
      <c r="S11" s="438"/>
    </row>
    <row r="12" spans="1:19" ht="12.75" customHeight="1" x14ac:dyDescent="0.25">
      <c r="A12" s="431">
        <v>3</v>
      </c>
      <c r="B12" s="431">
        <v>2</v>
      </c>
      <c r="C12" s="432" t="s">
        <v>13</v>
      </c>
      <c r="D12" s="433" t="s">
        <v>14</v>
      </c>
      <c r="E12" s="434"/>
      <c r="F12" s="435"/>
      <c r="G12" s="436">
        <v>-3091567143</v>
      </c>
      <c r="H12" s="436">
        <f t="shared" si="0"/>
        <v>3091567.1430000002</v>
      </c>
      <c r="I12" s="437"/>
      <c r="J12" s="437"/>
      <c r="K12" s="437"/>
      <c r="L12" s="437"/>
      <c r="M12" s="437"/>
      <c r="N12" s="437"/>
      <c r="O12" s="437"/>
      <c r="P12" s="437"/>
      <c r="Q12" s="437"/>
      <c r="R12" s="438"/>
      <c r="S12" s="438"/>
    </row>
    <row r="13" spans="1:19" ht="12.75" customHeight="1" x14ac:dyDescent="0.25">
      <c r="A13" s="431">
        <v>3</v>
      </c>
      <c r="B13" s="431">
        <v>2</v>
      </c>
      <c r="C13" s="432" t="s">
        <v>165</v>
      </c>
      <c r="D13" s="433" t="s">
        <v>166</v>
      </c>
      <c r="E13" s="434"/>
      <c r="F13" s="435"/>
      <c r="G13" s="436">
        <v>-107540000</v>
      </c>
      <c r="H13" s="436">
        <f t="shared" si="0"/>
        <v>107540</v>
      </c>
      <c r="I13" s="437"/>
      <c r="J13" s="437"/>
      <c r="K13" s="437"/>
      <c r="L13" s="437"/>
      <c r="M13" s="437"/>
      <c r="N13" s="437"/>
      <c r="O13" s="437"/>
      <c r="P13" s="437"/>
      <c r="Q13" s="437"/>
      <c r="R13" s="438"/>
      <c r="S13" s="438"/>
    </row>
    <row r="14" spans="1:19" ht="12.75" customHeight="1" x14ac:dyDescent="0.25">
      <c r="A14" s="431">
        <v>3</v>
      </c>
      <c r="B14" s="431">
        <v>2</v>
      </c>
      <c r="C14" s="432" t="s">
        <v>180</v>
      </c>
      <c r="D14" s="433" t="s">
        <v>181</v>
      </c>
      <c r="E14" s="434"/>
      <c r="F14" s="435"/>
      <c r="G14" s="436">
        <v>-378457113.11260003</v>
      </c>
      <c r="H14" s="436">
        <f t="shared" si="0"/>
        <v>378457.11311260005</v>
      </c>
      <c r="I14" s="437"/>
      <c r="J14" s="437"/>
      <c r="K14" s="437"/>
      <c r="L14" s="437"/>
      <c r="M14" s="437"/>
      <c r="N14" s="437"/>
      <c r="O14" s="437"/>
      <c r="P14" s="437"/>
      <c r="Q14" s="437"/>
      <c r="R14" s="438"/>
      <c r="S14" s="438"/>
    </row>
    <row r="15" spans="1:19" ht="12.75" customHeight="1" x14ac:dyDescent="0.25">
      <c r="A15" s="431">
        <v>3</v>
      </c>
      <c r="B15" s="431">
        <v>2</v>
      </c>
      <c r="C15" s="432" t="s">
        <v>205</v>
      </c>
      <c r="D15" s="433" t="s">
        <v>1952</v>
      </c>
      <c r="E15" s="434"/>
      <c r="F15" s="435"/>
      <c r="G15" s="436">
        <v>123569000</v>
      </c>
      <c r="H15" s="436">
        <f t="shared" si="0"/>
        <v>-123569</v>
      </c>
      <c r="I15" s="437"/>
      <c r="J15" s="437"/>
      <c r="K15" s="437"/>
      <c r="L15" s="437"/>
      <c r="M15" s="437"/>
      <c r="N15" s="437"/>
      <c r="O15" s="437"/>
      <c r="P15" s="437"/>
      <c r="Q15" s="437"/>
      <c r="R15" s="438"/>
      <c r="S15" s="438"/>
    </row>
    <row r="16" spans="1:19" ht="12.75" customHeight="1" x14ac:dyDescent="0.25">
      <c r="A16" s="431">
        <v>2</v>
      </c>
      <c r="B16" s="431">
        <v>3</v>
      </c>
      <c r="C16" s="432" t="s">
        <v>218</v>
      </c>
      <c r="D16" s="433" t="s">
        <v>219</v>
      </c>
      <c r="E16" s="434"/>
      <c r="F16" s="435"/>
      <c r="G16" s="436">
        <v>-374588680.91000003</v>
      </c>
      <c r="H16" s="436">
        <f t="shared" si="0"/>
        <v>374588.68091000005</v>
      </c>
      <c r="I16" s="437"/>
      <c r="J16" s="437"/>
      <c r="K16" s="437"/>
      <c r="L16" s="437"/>
      <c r="M16" s="437"/>
      <c r="N16" s="437"/>
      <c r="O16" s="437"/>
      <c r="P16" s="437"/>
      <c r="Q16" s="437"/>
      <c r="R16" s="438"/>
      <c r="S16" s="438"/>
    </row>
    <row r="17" spans="1:19" ht="12.75" customHeight="1" x14ac:dyDescent="0.25">
      <c r="A17" s="431">
        <v>3</v>
      </c>
      <c r="B17" s="431">
        <v>2</v>
      </c>
      <c r="C17" s="432" t="s">
        <v>220</v>
      </c>
      <c r="D17" s="433" t="s">
        <v>221</v>
      </c>
      <c r="E17" s="434"/>
      <c r="F17" s="435"/>
      <c r="G17" s="436">
        <v>-86605000</v>
      </c>
      <c r="H17" s="436">
        <f t="shared" si="0"/>
        <v>86605</v>
      </c>
      <c r="I17" s="437"/>
      <c r="J17" s="437"/>
      <c r="K17" s="437"/>
      <c r="L17" s="437"/>
      <c r="M17" s="437"/>
      <c r="N17" s="437"/>
      <c r="O17" s="437"/>
      <c r="P17" s="437"/>
      <c r="Q17" s="437"/>
      <c r="R17" s="438"/>
      <c r="S17" s="438"/>
    </row>
    <row r="18" spans="1:19" ht="12.75" customHeight="1" x14ac:dyDescent="0.25">
      <c r="A18" s="431">
        <v>3</v>
      </c>
      <c r="B18" s="431">
        <v>2</v>
      </c>
      <c r="C18" s="432" t="s">
        <v>237</v>
      </c>
      <c r="D18" s="433" t="s">
        <v>238</v>
      </c>
      <c r="E18" s="434"/>
      <c r="F18" s="435"/>
      <c r="G18" s="436">
        <v>-9544503</v>
      </c>
      <c r="H18" s="436">
        <f t="shared" si="0"/>
        <v>9544.5030000000006</v>
      </c>
      <c r="I18" s="437"/>
      <c r="J18" s="437"/>
      <c r="K18" s="437"/>
      <c r="L18" s="437"/>
      <c r="M18" s="437"/>
      <c r="N18" s="437"/>
      <c r="O18" s="437"/>
      <c r="P18" s="437"/>
      <c r="Q18" s="437"/>
      <c r="R18" s="438"/>
      <c r="S18" s="438"/>
    </row>
    <row r="19" spans="1:19" ht="12.75" customHeight="1" x14ac:dyDescent="0.25">
      <c r="A19" s="431">
        <v>3</v>
      </c>
      <c r="B19" s="431">
        <v>2</v>
      </c>
      <c r="C19" s="432" t="s">
        <v>249</v>
      </c>
      <c r="D19" s="433" t="s">
        <v>250</v>
      </c>
      <c r="E19" s="434"/>
      <c r="F19" s="435"/>
      <c r="G19" s="436">
        <v>-250000</v>
      </c>
      <c r="H19" s="436">
        <f t="shared" si="0"/>
        <v>250</v>
      </c>
      <c r="I19" s="437"/>
      <c r="J19" s="437"/>
      <c r="K19" s="437"/>
      <c r="L19" s="437"/>
      <c r="M19" s="437"/>
      <c r="N19" s="437"/>
      <c r="O19" s="437"/>
      <c r="P19" s="437"/>
      <c r="Q19" s="437"/>
      <c r="R19" s="438"/>
      <c r="S19" s="438"/>
    </row>
    <row r="20" spans="1:19" ht="12.75" customHeight="1" x14ac:dyDescent="0.25">
      <c r="A20" s="431">
        <v>3</v>
      </c>
      <c r="B20" s="431">
        <v>2</v>
      </c>
      <c r="C20" s="432" t="s">
        <v>254</v>
      </c>
      <c r="D20" s="433" t="s">
        <v>255</v>
      </c>
      <c r="E20" s="434"/>
      <c r="F20" s="435"/>
      <c r="G20" s="436">
        <v>-278189177.91000003</v>
      </c>
      <c r="H20" s="436">
        <f t="shared" si="0"/>
        <v>278189.17791000003</v>
      </c>
      <c r="I20" s="437"/>
      <c r="J20" s="437"/>
      <c r="K20" s="437"/>
      <c r="L20" s="437"/>
      <c r="M20" s="437"/>
      <c r="N20" s="437"/>
      <c r="O20" s="437"/>
      <c r="P20" s="437"/>
      <c r="Q20" s="437"/>
      <c r="R20" s="438"/>
      <c r="S20" s="438"/>
    </row>
    <row r="21" spans="1:19" ht="12.75" customHeight="1" x14ac:dyDescent="0.25">
      <c r="A21" s="431">
        <v>2</v>
      </c>
      <c r="B21" s="431">
        <v>3</v>
      </c>
      <c r="C21" s="432" t="s">
        <v>322</v>
      </c>
      <c r="D21" s="433" t="s">
        <v>323</v>
      </c>
      <c r="E21" s="434"/>
      <c r="F21" s="435"/>
      <c r="G21" s="436">
        <v>-3441235992.7846999</v>
      </c>
      <c r="H21" s="436">
        <f t="shared" si="0"/>
        <v>3441235.9927846999</v>
      </c>
      <c r="I21" s="437"/>
      <c r="J21" s="437"/>
      <c r="K21" s="437"/>
      <c r="L21" s="437"/>
      <c r="M21" s="437"/>
      <c r="N21" s="437"/>
      <c r="O21" s="437"/>
      <c r="P21" s="437"/>
      <c r="Q21" s="437"/>
      <c r="R21" s="438"/>
      <c r="S21" s="438"/>
    </row>
    <row r="22" spans="1:19" ht="12.75" customHeight="1" x14ac:dyDescent="0.25">
      <c r="A22" s="431">
        <v>3</v>
      </c>
      <c r="B22" s="431">
        <v>2</v>
      </c>
      <c r="C22" s="432" t="s">
        <v>324</v>
      </c>
      <c r="D22" s="433" t="s">
        <v>325</v>
      </c>
      <c r="E22" s="434"/>
      <c r="F22" s="435"/>
      <c r="G22" s="436">
        <v>-2532879589.599</v>
      </c>
      <c r="H22" s="436">
        <f t="shared" si="0"/>
        <v>2532879.5895989998</v>
      </c>
      <c r="I22" s="437"/>
      <c r="J22" s="437"/>
      <c r="K22" s="437"/>
      <c r="L22" s="437"/>
      <c r="M22" s="437"/>
      <c r="N22" s="437"/>
      <c r="O22" s="437"/>
      <c r="P22" s="437"/>
      <c r="Q22" s="437"/>
      <c r="R22" s="438"/>
      <c r="S22" s="438"/>
    </row>
    <row r="23" spans="1:19" ht="12.75" customHeight="1" x14ac:dyDescent="0.25">
      <c r="A23" s="431">
        <v>3</v>
      </c>
      <c r="B23" s="431">
        <v>2</v>
      </c>
      <c r="C23" s="432" t="s">
        <v>355</v>
      </c>
      <c r="D23" s="433" t="s">
        <v>356</v>
      </c>
      <c r="E23" s="434"/>
      <c r="F23" s="435"/>
      <c r="G23" s="436">
        <v>-847224961.18450296</v>
      </c>
      <c r="H23" s="436">
        <f t="shared" si="0"/>
        <v>847224.96118450293</v>
      </c>
      <c r="I23" s="437"/>
      <c r="J23" s="437"/>
      <c r="K23" s="437"/>
      <c r="L23" s="437"/>
      <c r="M23" s="437"/>
      <c r="N23" s="437"/>
      <c r="O23" s="437"/>
      <c r="P23" s="437"/>
      <c r="Q23" s="437"/>
      <c r="R23" s="438"/>
      <c r="S23" s="438"/>
    </row>
    <row r="24" spans="1:19" ht="12.75" customHeight="1" x14ac:dyDescent="0.25">
      <c r="A24" s="431">
        <v>3</v>
      </c>
      <c r="B24" s="431">
        <v>2</v>
      </c>
      <c r="C24" s="432" t="s">
        <v>370</v>
      </c>
      <c r="D24" s="433" t="s">
        <v>1951</v>
      </c>
      <c r="E24" s="434"/>
      <c r="F24" s="435"/>
      <c r="G24" s="436">
        <v>-10473850.231799999</v>
      </c>
      <c r="H24" s="436">
        <f t="shared" si="0"/>
        <v>10473.850231799999</v>
      </c>
      <c r="I24" s="437"/>
      <c r="J24" s="437"/>
      <c r="K24" s="437"/>
      <c r="L24" s="437"/>
      <c r="M24" s="437"/>
      <c r="N24" s="437"/>
      <c r="O24" s="437"/>
      <c r="P24" s="437"/>
      <c r="Q24" s="437"/>
      <c r="R24" s="438"/>
      <c r="S24" s="438"/>
    </row>
    <row r="25" spans="1:19" ht="12.75" customHeight="1" x14ac:dyDescent="0.25">
      <c r="A25" s="431">
        <v>3</v>
      </c>
      <c r="B25" s="431">
        <v>2</v>
      </c>
      <c r="C25" s="432" t="s">
        <v>376</v>
      </c>
      <c r="D25" s="433" t="s">
        <v>1950</v>
      </c>
      <c r="E25" s="434"/>
      <c r="F25" s="435"/>
      <c r="G25" s="436">
        <v>-50657591.769400097</v>
      </c>
      <c r="H25" s="436">
        <f t="shared" si="0"/>
        <v>50657.591769400096</v>
      </c>
      <c r="I25" s="437"/>
      <c r="J25" s="437"/>
      <c r="K25" s="437"/>
      <c r="L25" s="437"/>
      <c r="M25" s="437"/>
      <c r="N25" s="437"/>
      <c r="O25" s="437"/>
      <c r="P25" s="437"/>
      <c r="Q25" s="437"/>
      <c r="R25" s="438"/>
      <c r="S25" s="438"/>
    </row>
    <row r="26" spans="1:19" ht="12.75" customHeight="1" x14ac:dyDescent="0.25">
      <c r="A26" s="431">
        <v>2</v>
      </c>
      <c r="B26" s="431">
        <v>3</v>
      </c>
      <c r="C26" s="432" t="s">
        <v>388</v>
      </c>
      <c r="D26" s="433" t="s">
        <v>389</v>
      </c>
      <c r="E26" s="434"/>
      <c r="F26" s="435"/>
      <c r="G26" s="436">
        <v>-221000</v>
      </c>
      <c r="H26" s="436">
        <f t="shared" si="0"/>
        <v>221</v>
      </c>
      <c r="I26" s="437"/>
      <c r="J26" s="437"/>
      <c r="K26" s="437"/>
      <c r="L26" s="437"/>
      <c r="M26" s="437"/>
      <c r="N26" s="437"/>
      <c r="O26" s="437"/>
      <c r="P26" s="437"/>
      <c r="Q26" s="437"/>
      <c r="R26" s="438"/>
      <c r="S26" s="438"/>
    </row>
    <row r="27" spans="1:19" ht="12.75" customHeight="1" x14ac:dyDescent="0.25">
      <c r="A27" s="431">
        <v>3</v>
      </c>
      <c r="B27" s="431">
        <v>2</v>
      </c>
      <c r="C27" s="432" t="s">
        <v>390</v>
      </c>
      <c r="D27" s="433" t="s">
        <v>391</v>
      </c>
      <c r="E27" s="434"/>
      <c r="F27" s="435"/>
      <c r="G27" s="436">
        <v>-110000</v>
      </c>
      <c r="H27" s="436">
        <f t="shared" si="0"/>
        <v>110</v>
      </c>
      <c r="I27" s="437"/>
      <c r="J27" s="437"/>
      <c r="K27" s="437"/>
      <c r="L27" s="437"/>
      <c r="M27" s="437"/>
      <c r="N27" s="437"/>
      <c r="O27" s="437"/>
      <c r="P27" s="437"/>
      <c r="Q27" s="437"/>
      <c r="R27" s="438"/>
      <c r="S27" s="438"/>
    </row>
    <row r="28" spans="1:19" ht="12.75" customHeight="1" x14ac:dyDescent="0.25">
      <c r="A28" s="431">
        <v>3</v>
      </c>
      <c r="B28" s="431">
        <v>2</v>
      </c>
      <c r="C28" s="432" t="s">
        <v>394</v>
      </c>
      <c r="D28" s="433" t="s">
        <v>395</v>
      </c>
      <c r="E28" s="434"/>
      <c r="F28" s="435"/>
      <c r="G28" s="436">
        <v>-86000</v>
      </c>
      <c r="H28" s="436">
        <f t="shared" si="0"/>
        <v>86</v>
      </c>
      <c r="I28" s="437"/>
      <c r="J28" s="437"/>
      <c r="K28" s="437"/>
      <c r="L28" s="437"/>
      <c r="M28" s="437"/>
      <c r="N28" s="437"/>
      <c r="O28" s="437"/>
      <c r="P28" s="437"/>
      <c r="Q28" s="437"/>
      <c r="R28" s="438"/>
      <c r="S28" s="438"/>
    </row>
    <row r="29" spans="1:19" ht="12.75" customHeight="1" x14ac:dyDescent="0.25">
      <c r="A29" s="431">
        <v>3</v>
      </c>
      <c r="B29" s="431">
        <v>2</v>
      </c>
      <c r="C29" s="432" t="s">
        <v>398</v>
      </c>
      <c r="D29" s="433" t="s">
        <v>1953</v>
      </c>
      <c r="E29" s="434"/>
      <c r="F29" s="435"/>
      <c r="G29" s="436">
        <v>-25000</v>
      </c>
      <c r="H29" s="436">
        <f t="shared" si="0"/>
        <v>25</v>
      </c>
      <c r="I29" s="437"/>
      <c r="J29" s="437"/>
      <c r="K29" s="437"/>
      <c r="L29" s="437"/>
      <c r="M29" s="437"/>
      <c r="N29" s="437"/>
      <c r="O29" s="437"/>
      <c r="P29" s="437"/>
      <c r="Q29" s="437"/>
      <c r="R29" s="438"/>
      <c r="S29" s="438"/>
    </row>
    <row r="30" spans="1:19" ht="12.75" customHeight="1" x14ac:dyDescent="0.25">
      <c r="A30" s="431">
        <v>2</v>
      </c>
      <c r="B30" s="431">
        <v>3</v>
      </c>
      <c r="C30" s="432" t="s">
        <v>406</v>
      </c>
      <c r="D30" s="433" t="s">
        <v>407</v>
      </c>
      <c r="E30" s="434"/>
      <c r="F30" s="435"/>
      <c r="G30" s="436">
        <v>-66634456</v>
      </c>
      <c r="H30" s="436">
        <f t="shared" si="0"/>
        <v>66634.456000000006</v>
      </c>
      <c r="I30" s="437"/>
      <c r="J30" s="437"/>
      <c r="K30" s="437"/>
      <c r="L30" s="437"/>
      <c r="M30" s="437"/>
      <c r="N30" s="437"/>
      <c r="O30" s="437"/>
      <c r="P30" s="437"/>
      <c r="Q30" s="437"/>
      <c r="R30" s="438"/>
      <c r="S30" s="438"/>
    </row>
    <row r="31" spans="1:19" ht="12.75" customHeight="1" x14ac:dyDescent="0.25">
      <c r="A31" s="431">
        <v>3</v>
      </c>
      <c r="B31" s="431">
        <v>2</v>
      </c>
      <c r="C31" s="432" t="s">
        <v>414</v>
      </c>
      <c r="D31" s="433" t="s">
        <v>1970</v>
      </c>
      <c r="E31" s="434"/>
      <c r="F31" s="435"/>
      <c r="G31" s="436">
        <v>-1000000</v>
      </c>
      <c r="H31" s="436">
        <f t="shared" si="0"/>
        <v>1000</v>
      </c>
      <c r="I31" s="437"/>
      <c r="J31" s="437"/>
      <c r="K31" s="437"/>
      <c r="L31" s="437"/>
      <c r="M31" s="437"/>
      <c r="N31" s="437"/>
      <c r="O31" s="437"/>
      <c r="P31" s="437"/>
      <c r="Q31" s="437"/>
      <c r="R31" s="438"/>
      <c r="S31" s="438"/>
    </row>
    <row r="32" spans="1:19" ht="12.75" customHeight="1" x14ac:dyDescent="0.25">
      <c r="A32" s="431">
        <v>3</v>
      </c>
      <c r="B32" s="431">
        <v>2</v>
      </c>
      <c r="C32" s="432" t="s">
        <v>426</v>
      </c>
      <c r="D32" s="433" t="s">
        <v>415</v>
      </c>
      <c r="E32" s="434"/>
      <c r="F32" s="435"/>
      <c r="G32" s="436">
        <v>-47172000</v>
      </c>
      <c r="H32" s="436">
        <f t="shared" si="0"/>
        <v>47172</v>
      </c>
      <c r="I32" s="437"/>
      <c r="J32" s="437"/>
      <c r="K32" s="437"/>
      <c r="L32" s="437"/>
      <c r="M32" s="437"/>
      <c r="N32" s="437"/>
      <c r="O32" s="437"/>
      <c r="P32" s="437"/>
      <c r="Q32" s="437"/>
      <c r="R32" s="438"/>
      <c r="S32" s="438"/>
    </row>
    <row r="33" spans="1:19" ht="12.75" customHeight="1" x14ac:dyDescent="0.25">
      <c r="A33" s="431">
        <v>3</v>
      </c>
      <c r="B33" s="431">
        <v>2</v>
      </c>
      <c r="C33" s="432" t="s">
        <v>446</v>
      </c>
      <c r="D33" s="433" t="s">
        <v>1971</v>
      </c>
      <c r="E33" s="434"/>
      <c r="F33" s="435"/>
      <c r="G33" s="436">
        <v>-18462456</v>
      </c>
      <c r="H33" s="436">
        <f t="shared" si="0"/>
        <v>18462.455999999998</v>
      </c>
      <c r="I33" s="437"/>
      <c r="J33" s="437"/>
      <c r="K33" s="437"/>
      <c r="L33" s="437"/>
      <c r="M33" s="437"/>
      <c r="N33" s="437"/>
      <c r="O33" s="437"/>
      <c r="P33" s="437"/>
      <c r="Q33" s="437"/>
      <c r="R33" s="438"/>
      <c r="S33" s="438"/>
    </row>
    <row r="34" spans="1:19" ht="12.75" customHeight="1" x14ac:dyDescent="0.25">
      <c r="A34" s="431">
        <v>2</v>
      </c>
      <c r="B34" s="431">
        <v>3</v>
      </c>
      <c r="C34" s="432" t="s">
        <v>508</v>
      </c>
      <c r="D34" s="433" t="s">
        <v>509</v>
      </c>
      <c r="E34" s="434"/>
      <c r="F34" s="435"/>
      <c r="G34" s="436">
        <v>-373728722</v>
      </c>
      <c r="H34" s="436">
        <f t="shared" si="0"/>
        <v>373728.72200000001</v>
      </c>
      <c r="I34" s="437"/>
      <c r="J34" s="437"/>
      <c r="K34" s="437"/>
      <c r="L34" s="437"/>
      <c r="M34" s="437"/>
      <c r="N34" s="437"/>
      <c r="O34" s="437"/>
      <c r="P34" s="437"/>
      <c r="Q34" s="437"/>
      <c r="R34" s="438"/>
      <c r="S34" s="438"/>
    </row>
    <row r="35" spans="1:19" ht="12.75" customHeight="1" x14ac:dyDescent="0.25">
      <c r="A35" s="431">
        <v>3</v>
      </c>
      <c r="B35" s="431">
        <v>2</v>
      </c>
      <c r="C35" s="432" t="s">
        <v>510</v>
      </c>
      <c r="D35" s="433" t="s">
        <v>511</v>
      </c>
      <c r="E35" s="434"/>
      <c r="F35" s="435"/>
      <c r="G35" s="436">
        <v>-313583152</v>
      </c>
      <c r="H35" s="436">
        <f t="shared" si="0"/>
        <v>313583.152</v>
      </c>
      <c r="I35" s="437"/>
      <c r="J35" s="437"/>
      <c r="K35" s="437"/>
      <c r="L35" s="437"/>
      <c r="M35" s="437"/>
      <c r="N35" s="437"/>
      <c r="O35" s="437"/>
      <c r="P35" s="437"/>
      <c r="Q35" s="437"/>
      <c r="R35" s="438"/>
      <c r="S35" s="438"/>
    </row>
    <row r="36" spans="1:19" ht="12.75" customHeight="1" x14ac:dyDescent="0.25">
      <c r="A36" s="431">
        <v>3</v>
      </c>
      <c r="B36" s="431">
        <v>2</v>
      </c>
      <c r="C36" s="432" t="s">
        <v>543</v>
      </c>
      <c r="D36" s="433" t="s">
        <v>1972</v>
      </c>
      <c r="E36" s="434"/>
      <c r="F36" s="435"/>
      <c r="G36" s="436">
        <v>-60145570</v>
      </c>
      <c r="H36" s="436">
        <f t="shared" si="0"/>
        <v>60145.57</v>
      </c>
      <c r="I36" s="437"/>
      <c r="J36" s="437"/>
      <c r="K36" s="437"/>
      <c r="L36" s="437"/>
      <c r="M36" s="437"/>
      <c r="N36" s="437"/>
      <c r="O36" s="437"/>
      <c r="P36" s="437"/>
      <c r="Q36" s="437"/>
      <c r="R36" s="438"/>
      <c r="S36" s="438"/>
    </row>
    <row r="37" spans="1:19" ht="12.75" customHeight="1" x14ac:dyDescent="0.25">
      <c r="A37" s="431">
        <v>2</v>
      </c>
      <c r="B37" s="431">
        <v>3</v>
      </c>
      <c r="C37" s="432" t="s">
        <v>590</v>
      </c>
      <c r="D37" s="433" t="s">
        <v>591</v>
      </c>
      <c r="E37" s="434"/>
      <c r="F37" s="435"/>
      <c r="G37" s="436">
        <v>-280000</v>
      </c>
      <c r="H37" s="436">
        <f t="shared" si="0"/>
        <v>280</v>
      </c>
      <c r="I37" s="437"/>
      <c r="J37" s="437"/>
      <c r="K37" s="437"/>
      <c r="L37" s="437"/>
      <c r="M37" s="437"/>
      <c r="N37" s="437"/>
      <c r="O37" s="437"/>
      <c r="P37" s="437"/>
      <c r="Q37" s="437"/>
      <c r="R37" s="438"/>
      <c r="S37" s="438"/>
    </row>
    <row r="38" spans="1:19" ht="12.75" customHeight="1" x14ac:dyDescent="0.25">
      <c r="A38" s="431">
        <v>3</v>
      </c>
      <c r="B38" s="431">
        <v>2</v>
      </c>
      <c r="C38" s="432" t="s">
        <v>598</v>
      </c>
      <c r="D38" s="433" t="s">
        <v>599</v>
      </c>
      <c r="E38" s="434"/>
      <c r="F38" s="435"/>
      <c r="G38" s="436">
        <v>-280000</v>
      </c>
      <c r="H38" s="436">
        <f t="shared" si="0"/>
        <v>280</v>
      </c>
      <c r="I38" s="437"/>
      <c r="J38" s="437"/>
      <c r="K38" s="437"/>
      <c r="L38" s="437"/>
      <c r="M38" s="437"/>
      <c r="N38" s="437"/>
      <c r="O38" s="437"/>
      <c r="P38" s="437"/>
      <c r="Q38" s="437"/>
      <c r="R38" s="438"/>
      <c r="S38" s="438"/>
    </row>
    <row r="39" spans="1:19" ht="12.75" customHeight="1" x14ac:dyDescent="0.25">
      <c r="A39" s="431">
        <v>2</v>
      </c>
      <c r="B39" s="431">
        <v>3</v>
      </c>
      <c r="C39" s="432" t="s">
        <v>644</v>
      </c>
      <c r="D39" s="433" t="s">
        <v>645</v>
      </c>
      <c r="E39" s="434"/>
      <c r="F39" s="435"/>
      <c r="G39" s="436">
        <v>-7499999.9999999404</v>
      </c>
      <c r="H39" s="436">
        <f t="shared" si="0"/>
        <v>7499.99999999994</v>
      </c>
      <c r="I39" s="437"/>
      <c r="J39" s="437"/>
      <c r="K39" s="437"/>
      <c r="L39" s="437"/>
      <c r="M39" s="437"/>
      <c r="N39" s="437"/>
      <c r="O39" s="437"/>
      <c r="P39" s="437"/>
      <c r="Q39" s="437"/>
      <c r="R39" s="438"/>
      <c r="S39" s="438"/>
    </row>
    <row r="40" spans="1:19" ht="12.75" customHeight="1" x14ac:dyDescent="0.25">
      <c r="A40" s="431">
        <v>3</v>
      </c>
      <c r="B40" s="431">
        <v>2</v>
      </c>
      <c r="C40" s="432" t="s">
        <v>646</v>
      </c>
      <c r="D40" s="433" t="s">
        <v>1973</v>
      </c>
      <c r="E40" s="434"/>
      <c r="F40" s="435"/>
      <c r="G40" s="436">
        <v>-7499999.9999999404</v>
      </c>
      <c r="H40" s="436">
        <f t="shared" si="0"/>
        <v>7499.99999999994</v>
      </c>
      <c r="I40" s="437"/>
      <c r="J40" s="437"/>
      <c r="K40" s="437"/>
      <c r="L40" s="437"/>
      <c r="M40" s="437"/>
      <c r="N40" s="437"/>
      <c r="O40" s="437"/>
      <c r="P40" s="437"/>
      <c r="Q40" s="437"/>
      <c r="R40" s="438"/>
      <c r="S40" s="438"/>
    </row>
    <row r="41" spans="1:19" ht="12.75" customHeight="1" x14ac:dyDescent="0.25">
      <c r="A41" s="431">
        <v>1</v>
      </c>
      <c r="B41" s="431">
        <v>4</v>
      </c>
      <c r="C41" s="432" t="s">
        <v>667</v>
      </c>
      <c r="D41" s="433" t="s">
        <v>668</v>
      </c>
      <c r="E41" s="434"/>
      <c r="F41" s="435"/>
      <c r="G41" s="436">
        <v>7718184108.2414999</v>
      </c>
      <c r="H41" s="436">
        <f>+G41/1000</f>
        <v>7718184.1082415003</v>
      </c>
      <c r="I41" s="437"/>
      <c r="J41" s="437"/>
      <c r="K41" s="437"/>
      <c r="L41" s="437"/>
      <c r="M41" s="437"/>
      <c r="N41" s="437"/>
      <c r="O41" s="437"/>
      <c r="P41" s="437"/>
      <c r="Q41" s="437"/>
      <c r="R41" s="438"/>
      <c r="S41" s="438"/>
    </row>
    <row r="42" spans="1:19" ht="12.75" customHeight="1" x14ac:dyDescent="0.25">
      <c r="A42" s="431">
        <v>2</v>
      </c>
      <c r="B42" s="431">
        <v>3</v>
      </c>
      <c r="C42" s="432" t="s">
        <v>669</v>
      </c>
      <c r="D42" s="433" t="s">
        <v>1954</v>
      </c>
      <c r="E42" s="434"/>
      <c r="F42" s="435"/>
      <c r="G42" s="436">
        <v>7316258588.2414999</v>
      </c>
      <c r="H42" s="436">
        <f>+G42/1000</f>
        <v>7316258.5882414998</v>
      </c>
      <c r="I42" s="437"/>
      <c r="J42" s="437"/>
      <c r="K42" s="437"/>
      <c r="L42" s="437"/>
      <c r="M42" s="437"/>
      <c r="N42" s="437"/>
      <c r="O42" s="437"/>
      <c r="P42" s="437"/>
      <c r="Q42" s="437"/>
      <c r="R42" s="438"/>
      <c r="S42" s="438"/>
    </row>
    <row r="43" spans="1:19" ht="12.75" customHeight="1" x14ac:dyDescent="0.25">
      <c r="A43" s="431">
        <v>3</v>
      </c>
      <c r="B43" s="431">
        <v>2</v>
      </c>
      <c r="C43" s="432" t="s">
        <v>673</v>
      </c>
      <c r="D43" s="433" t="s">
        <v>1956</v>
      </c>
      <c r="E43" s="434"/>
      <c r="F43" s="435"/>
      <c r="G43" s="436">
        <v>6833450433</v>
      </c>
      <c r="H43" s="436">
        <f>+G43/1000</f>
        <v>6833450.4330000002</v>
      </c>
      <c r="I43" s="437"/>
      <c r="J43" s="437"/>
      <c r="K43" s="437"/>
      <c r="L43" s="437"/>
      <c r="M43" s="437"/>
      <c r="N43" s="437"/>
      <c r="O43" s="437"/>
      <c r="P43" s="437"/>
      <c r="Q43" s="437"/>
      <c r="R43" s="438"/>
      <c r="S43" s="438"/>
    </row>
    <row r="44" spans="1:19" ht="12.75" customHeight="1" x14ac:dyDescent="0.25">
      <c r="A44" s="431">
        <v>3</v>
      </c>
      <c r="B44" s="431">
        <v>2</v>
      </c>
      <c r="C44" s="432" t="s">
        <v>720</v>
      </c>
      <c r="D44" s="433" t="s">
        <v>1957</v>
      </c>
      <c r="E44" s="434"/>
      <c r="F44" s="435"/>
      <c r="G44" s="436">
        <v>454304005.24150002</v>
      </c>
      <c r="H44" s="436">
        <f t="shared" ref="H44:H50" si="1">+G44/1000</f>
        <v>454304.00524150004</v>
      </c>
      <c r="I44" s="437"/>
      <c r="J44" s="437"/>
      <c r="K44" s="437"/>
      <c r="L44" s="437"/>
      <c r="M44" s="437"/>
      <c r="N44" s="437"/>
      <c r="O44" s="437"/>
      <c r="P44" s="437"/>
      <c r="Q44" s="437"/>
      <c r="R44" s="438"/>
      <c r="S44" s="438"/>
    </row>
    <row r="45" spans="1:19" ht="12.75" customHeight="1" x14ac:dyDescent="0.25">
      <c r="A45" s="431">
        <v>3</v>
      </c>
      <c r="B45" s="431">
        <v>2</v>
      </c>
      <c r="C45" s="432" t="s">
        <v>741</v>
      </c>
      <c r="D45" s="433" t="s">
        <v>1974</v>
      </c>
      <c r="E45" s="434"/>
      <c r="F45" s="435"/>
      <c r="G45" s="436">
        <v>22604150</v>
      </c>
      <c r="H45" s="436">
        <f t="shared" si="1"/>
        <v>22604.15</v>
      </c>
      <c r="I45" s="437"/>
      <c r="J45" s="437"/>
      <c r="K45" s="437"/>
      <c r="L45" s="437"/>
      <c r="M45" s="437"/>
      <c r="N45" s="437"/>
      <c r="O45" s="437"/>
      <c r="P45" s="437"/>
      <c r="Q45" s="437"/>
      <c r="R45" s="438"/>
      <c r="S45" s="438"/>
    </row>
    <row r="46" spans="1:19" ht="12.75" customHeight="1" x14ac:dyDescent="0.25">
      <c r="A46" s="431">
        <v>3</v>
      </c>
      <c r="B46" s="431">
        <v>2</v>
      </c>
      <c r="C46" s="432" t="s">
        <v>750</v>
      </c>
      <c r="D46" s="433" t="s">
        <v>1975</v>
      </c>
      <c r="E46" s="434"/>
      <c r="F46" s="435"/>
      <c r="G46" s="436">
        <v>5900000</v>
      </c>
      <c r="H46" s="436">
        <f t="shared" si="1"/>
        <v>5900</v>
      </c>
      <c r="I46" s="437"/>
      <c r="J46" s="437"/>
      <c r="K46" s="437"/>
      <c r="L46" s="437"/>
      <c r="M46" s="437"/>
      <c r="N46" s="437"/>
      <c r="O46" s="437"/>
      <c r="P46" s="437"/>
      <c r="Q46" s="437"/>
      <c r="R46" s="438"/>
      <c r="S46" s="438"/>
    </row>
    <row r="47" spans="1:19" ht="12.75" customHeight="1" x14ac:dyDescent="0.25">
      <c r="A47" s="431">
        <v>2</v>
      </c>
      <c r="B47" s="431">
        <v>3</v>
      </c>
      <c r="C47" s="432" t="s">
        <v>765</v>
      </c>
      <c r="D47" s="433" t="s">
        <v>766</v>
      </c>
      <c r="E47" s="434"/>
      <c r="F47" s="435"/>
      <c r="G47" s="436">
        <v>348407520</v>
      </c>
      <c r="H47" s="436">
        <f>+G47/1000</f>
        <v>348407.52</v>
      </c>
      <c r="I47" s="437"/>
      <c r="J47" s="437"/>
      <c r="K47" s="437"/>
      <c r="L47" s="437"/>
      <c r="M47" s="437"/>
      <c r="N47" s="437"/>
      <c r="O47" s="437"/>
      <c r="P47" s="437"/>
      <c r="Q47" s="437"/>
      <c r="R47" s="438"/>
      <c r="S47" s="438"/>
    </row>
    <row r="48" spans="1:19" ht="12.75" customHeight="1" x14ac:dyDescent="0.25">
      <c r="A48" s="431">
        <v>3</v>
      </c>
      <c r="B48" s="431">
        <v>2</v>
      </c>
      <c r="C48" s="432" t="s">
        <v>778</v>
      </c>
      <c r="D48" s="433" t="s">
        <v>1976</v>
      </c>
      <c r="E48" s="434"/>
      <c r="F48" s="435"/>
      <c r="G48" s="436">
        <v>59269000</v>
      </c>
      <c r="H48" s="436">
        <f t="shared" si="1"/>
        <v>59269</v>
      </c>
      <c r="I48" s="437"/>
      <c r="J48" s="437"/>
      <c r="K48" s="437"/>
      <c r="L48" s="437"/>
      <c r="M48" s="437"/>
      <c r="N48" s="437"/>
      <c r="O48" s="437"/>
      <c r="P48" s="437"/>
      <c r="Q48" s="437"/>
      <c r="R48" s="438"/>
      <c r="S48" s="438"/>
    </row>
    <row r="49" spans="1:19" ht="12.75" customHeight="1" x14ac:dyDescent="0.25">
      <c r="A49" s="431">
        <v>3</v>
      </c>
      <c r="B49" s="431">
        <v>2</v>
      </c>
      <c r="C49" s="432" t="s">
        <v>789</v>
      </c>
      <c r="D49" s="433" t="s">
        <v>1977</v>
      </c>
      <c r="E49" s="434"/>
      <c r="F49" s="435"/>
      <c r="G49" s="436">
        <v>13281122</v>
      </c>
      <c r="H49" s="436">
        <f t="shared" si="1"/>
        <v>13281.121999999999</v>
      </c>
      <c r="I49" s="437"/>
      <c r="J49" s="437"/>
      <c r="K49" s="437"/>
      <c r="L49" s="437"/>
      <c r="M49" s="437"/>
      <c r="N49" s="437"/>
      <c r="O49" s="437"/>
      <c r="P49" s="437"/>
      <c r="Q49" s="437"/>
      <c r="R49" s="438"/>
      <c r="S49" s="438"/>
    </row>
    <row r="50" spans="1:19" ht="12.75" customHeight="1" x14ac:dyDescent="0.25">
      <c r="A50" s="431">
        <v>3</v>
      </c>
      <c r="B50" s="431">
        <v>2</v>
      </c>
      <c r="C50" s="432" t="s">
        <v>799</v>
      </c>
      <c r="D50" s="433" t="s">
        <v>1978</v>
      </c>
      <c r="E50" s="434"/>
      <c r="F50" s="435"/>
      <c r="G50" s="436">
        <v>275857398</v>
      </c>
      <c r="H50" s="436">
        <f t="shared" si="1"/>
        <v>275857.39799999999</v>
      </c>
      <c r="I50" s="437"/>
      <c r="J50" s="437"/>
      <c r="K50" s="437"/>
      <c r="L50" s="437"/>
      <c r="M50" s="437"/>
      <c r="N50" s="437"/>
      <c r="O50" s="437"/>
      <c r="P50" s="437"/>
      <c r="Q50" s="437"/>
      <c r="R50" s="438"/>
      <c r="S50" s="438"/>
    </row>
    <row r="51" spans="1:19" ht="12.75" customHeight="1" x14ac:dyDescent="0.25">
      <c r="A51" s="431">
        <v>2</v>
      </c>
      <c r="B51" s="431">
        <v>3</v>
      </c>
      <c r="C51" s="432" t="s">
        <v>855</v>
      </c>
      <c r="D51" s="433" t="s">
        <v>856</v>
      </c>
      <c r="E51" s="434"/>
      <c r="F51" s="435"/>
      <c r="G51" s="436">
        <v>80000</v>
      </c>
      <c r="H51" s="436">
        <f>+G51/1000</f>
        <v>80</v>
      </c>
      <c r="I51" s="437"/>
      <c r="J51" s="437"/>
      <c r="K51" s="437"/>
      <c r="L51" s="437"/>
      <c r="M51" s="437"/>
      <c r="N51" s="437"/>
      <c r="O51" s="437"/>
      <c r="P51" s="437"/>
      <c r="Q51" s="437"/>
      <c r="R51" s="438"/>
      <c r="S51" s="438"/>
    </row>
    <row r="52" spans="1:19" ht="12.75" customHeight="1" x14ac:dyDescent="0.25">
      <c r="A52" s="431">
        <v>3</v>
      </c>
      <c r="B52" s="431">
        <v>2</v>
      </c>
      <c r="C52" s="432" t="s">
        <v>862</v>
      </c>
      <c r="D52" s="433" t="s">
        <v>863</v>
      </c>
      <c r="E52" s="434"/>
      <c r="F52" s="435"/>
      <c r="G52" s="436">
        <v>80000</v>
      </c>
      <c r="H52" s="436">
        <f>+G52/1000</f>
        <v>80</v>
      </c>
      <c r="I52" s="437"/>
      <c r="J52" s="437"/>
      <c r="K52" s="437"/>
      <c r="L52" s="437"/>
      <c r="M52" s="437"/>
      <c r="N52" s="437"/>
      <c r="O52" s="437"/>
      <c r="P52" s="437"/>
      <c r="Q52" s="437"/>
      <c r="R52" s="438"/>
      <c r="S52" s="438"/>
    </row>
    <row r="53" spans="1:19" ht="12.75" customHeight="1" x14ac:dyDescent="0.25">
      <c r="A53" s="431">
        <v>2</v>
      </c>
      <c r="B53" s="431">
        <v>3</v>
      </c>
      <c r="C53" s="432" t="s">
        <v>880</v>
      </c>
      <c r="D53" s="433" t="s">
        <v>1979</v>
      </c>
      <c r="E53" s="434"/>
      <c r="F53" s="435"/>
      <c r="G53" s="436">
        <v>53438000</v>
      </c>
      <c r="H53" s="436">
        <f>+G53/1000</f>
        <v>53438</v>
      </c>
      <c r="I53" s="437"/>
      <c r="J53" s="437"/>
      <c r="K53" s="437"/>
      <c r="L53" s="437"/>
      <c r="M53" s="437"/>
      <c r="N53" s="437"/>
      <c r="O53" s="437"/>
      <c r="P53" s="437"/>
      <c r="Q53" s="437"/>
      <c r="R53" s="438"/>
      <c r="S53" s="438"/>
    </row>
    <row r="54" spans="1:19" ht="12.75" customHeight="1" x14ac:dyDescent="0.25">
      <c r="A54" s="431">
        <v>3</v>
      </c>
      <c r="B54" s="431">
        <v>2</v>
      </c>
      <c r="C54" s="432" t="s">
        <v>883</v>
      </c>
      <c r="D54" s="433" t="s">
        <v>884</v>
      </c>
      <c r="E54" s="434"/>
      <c r="F54" s="435"/>
      <c r="G54" s="436">
        <v>53438000</v>
      </c>
      <c r="H54" s="436">
        <f>+G54/1000</f>
        <v>53438</v>
      </c>
      <c r="I54" s="437"/>
      <c r="J54" s="437"/>
      <c r="K54" s="437"/>
      <c r="L54" s="437"/>
      <c r="M54" s="437"/>
      <c r="N54" s="437"/>
      <c r="O54" s="437"/>
      <c r="P54" s="437"/>
      <c r="Q54" s="437"/>
      <c r="R54" s="438"/>
      <c r="S54" s="438"/>
    </row>
    <row r="55" spans="1:19" ht="12.75" customHeight="1" x14ac:dyDescent="0.25">
      <c r="C55" s="432" t="s">
        <v>9</v>
      </c>
      <c r="D55" s="433" t="s">
        <v>1980</v>
      </c>
      <c r="E55" s="434"/>
      <c r="F55" s="435"/>
      <c r="G55" s="436">
        <v>0.43422176639978699</v>
      </c>
      <c r="H55" s="436">
        <f t="shared" si="0"/>
        <v>-4.3422176639978699E-4</v>
      </c>
      <c r="I55" s="421"/>
      <c r="J55" s="421"/>
      <c r="K55" s="421"/>
      <c r="L55" s="421"/>
      <c r="M55" s="421"/>
      <c r="N55" s="421"/>
      <c r="O55" s="421"/>
      <c r="P55" s="421"/>
      <c r="Q55" s="421"/>
      <c r="R55" s="422"/>
      <c r="S55" s="422"/>
    </row>
    <row r="57" spans="1:19" x14ac:dyDescent="0.25">
      <c r="C57" s="439" t="s">
        <v>1981</v>
      </c>
      <c r="D57" s="440" t="s">
        <v>1982</v>
      </c>
      <c r="E57" s="440"/>
      <c r="F57" s="440"/>
    </row>
    <row r="58" spans="1:19" x14ac:dyDescent="0.25">
      <c r="C58" s="441"/>
      <c r="D58" s="441"/>
      <c r="E58" s="441"/>
      <c r="F58" s="441"/>
    </row>
    <row r="59" spans="1:19" x14ac:dyDescent="0.25">
      <c r="C59" s="441"/>
      <c r="D59" s="441"/>
      <c r="E59" s="441"/>
      <c r="F59" s="441"/>
    </row>
    <row r="60" spans="1:19" x14ac:dyDescent="0.25">
      <c r="C60" s="442" t="s">
        <v>1983</v>
      </c>
      <c r="D60" s="443" t="s">
        <v>1984</v>
      </c>
      <c r="E60" s="444" t="s">
        <v>1985</v>
      </c>
      <c r="F60" s="444" t="s">
        <v>1986</v>
      </c>
    </row>
    <row r="61" spans="1:19" x14ac:dyDescent="0.25">
      <c r="C61" s="445"/>
      <c r="D61" s="443" t="s">
        <v>1987</v>
      </c>
      <c r="E61" s="443"/>
      <c r="F61" s="443" t="s">
        <v>1988</v>
      </c>
    </row>
    <row r="62" spans="1:19" x14ac:dyDescent="0.25">
      <c r="C62" s="445"/>
      <c r="D62" s="443"/>
      <c r="E62" s="443"/>
      <c r="F62" s="443"/>
    </row>
    <row r="63" spans="1:19" x14ac:dyDescent="0.25">
      <c r="C63" s="445"/>
      <c r="D63" s="443"/>
      <c r="E63" s="443"/>
      <c r="F63" s="443"/>
    </row>
    <row r="64" spans="1:19" x14ac:dyDescent="0.25">
      <c r="C64" s="444" t="s">
        <v>1989</v>
      </c>
      <c r="D64" s="441" t="s">
        <v>1990</v>
      </c>
      <c r="E64" s="439" t="s">
        <v>1991</v>
      </c>
      <c r="F64" s="446" t="s">
        <v>1992</v>
      </c>
    </row>
    <row r="65" spans="3:6" x14ac:dyDescent="0.25">
      <c r="C65" s="441"/>
      <c r="D65" s="441" t="s">
        <v>1993</v>
      </c>
      <c r="E65" s="441"/>
      <c r="F65" s="441" t="s">
        <v>1994</v>
      </c>
    </row>
  </sheetData>
  <mergeCells count="1">
    <mergeCell ref="C3:H3"/>
  </mergeCells>
  <conditionalFormatting sqref="C10:G54">
    <cfRule type="expression" dxfId="304" priority="25">
      <formula>AND($B10=0,$A10=1,LEFT($C10,1)="A")</formula>
    </cfRule>
    <cfRule type="expression" dxfId="303" priority="27">
      <formula>$A10=3</formula>
    </cfRule>
    <cfRule type="expression" dxfId="302" priority="28">
      <formula>$A10=2</formula>
    </cfRule>
    <cfRule type="expression" dxfId="301" priority="29">
      <formula>AND($A10=1,OR($B10&lt;&gt;0,LEFT($C10,1)="I",LEFT($C10,1)="C",RIGHT($C10,1)="X"))</formula>
    </cfRule>
    <cfRule type="expression" dxfId="300" priority="30">
      <formula>$A10=0</formula>
    </cfRule>
  </conditionalFormatting>
  <conditionalFormatting sqref="C10:G54">
    <cfRule type="expression" dxfId="299" priority="26">
      <formula>$A10=4</formula>
    </cfRule>
  </conditionalFormatting>
  <conditionalFormatting sqref="C55:F55">
    <cfRule type="expression" dxfId="298" priority="19">
      <formula>AND($B55=0,$A55=1,LEFT($C55,1)="A")</formula>
    </cfRule>
    <cfRule type="expression" dxfId="297" priority="21">
      <formula>$A55=3</formula>
    </cfRule>
    <cfRule type="expression" dxfId="296" priority="22">
      <formula>$A55=2</formula>
    </cfRule>
    <cfRule type="expression" dxfId="295" priority="23">
      <formula>AND($A55=1,OR($B55&lt;&gt;0,LEFT($C55,1)="I",LEFT($C55,1)="C",RIGHT($C55,1)="X"))</formula>
    </cfRule>
    <cfRule type="expression" dxfId="294" priority="24">
      <formula>$A55=0</formula>
    </cfRule>
  </conditionalFormatting>
  <conditionalFormatting sqref="C55:F55">
    <cfRule type="expression" dxfId="293" priority="20">
      <formula>$A55=4</formula>
    </cfRule>
  </conditionalFormatting>
  <conditionalFormatting sqref="G55">
    <cfRule type="expression" dxfId="292" priority="13">
      <formula>AND($B55=0,$A55=1,LEFT($C55,1)="A")</formula>
    </cfRule>
    <cfRule type="expression" dxfId="291" priority="15">
      <formula>$A55=3</formula>
    </cfRule>
    <cfRule type="expression" dxfId="290" priority="16">
      <formula>$A55=2</formula>
    </cfRule>
    <cfRule type="expression" dxfId="289" priority="17">
      <formula>AND($A55=1,OR($B55&lt;&gt;0,LEFT($C55,1)="I",LEFT($C55,1)="C",RIGHT($C55,1)="X"))</formula>
    </cfRule>
    <cfRule type="expression" dxfId="288" priority="18">
      <formula>$A55=0</formula>
    </cfRule>
  </conditionalFormatting>
  <conditionalFormatting sqref="G55">
    <cfRule type="expression" dxfId="287" priority="14">
      <formula>$A55=4</formula>
    </cfRule>
  </conditionalFormatting>
  <conditionalFormatting sqref="H10:H54">
    <cfRule type="expression" dxfId="286" priority="7">
      <formula>AND($B10=0,$A10=1,LEFT($C10,1)="A")</formula>
    </cfRule>
    <cfRule type="expression" dxfId="285" priority="9">
      <formula>$A10=3</formula>
    </cfRule>
    <cfRule type="expression" dxfId="284" priority="10">
      <formula>$A10=2</formula>
    </cfRule>
    <cfRule type="expression" dxfId="283" priority="11">
      <formula>AND($A10=1,OR($B10&lt;&gt;0,LEFT($C10,1)="I",LEFT($C10,1)="C",RIGHT($C10,1)="X"))</formula>
    </cfRule>
    <cfRule type="expression" dxfId="282" priority="12">
      <formula>$A10=0</formula>
    </cfRule>
  </conditionalFormatting>
  <conditionalFormatting sqref="H10:H54">
    <cfRule type="expression" dxfId="281" priority="8">
      <formula>$A10=4</formula>
    </cfRule>
  </conditionalFormatting>
  <conditionalFormatting sqref="H55">
    <cfRule type="expression" dxfId="280" priority="1">
      <formula>AND($B55=0,$A55=1,LEFT($C55,1)="A")</formula>
    </cfRule>
    <cfRule type="expression" dxfId="279" priority="3">
      <formula>$A55=3</formula>
    </cfRule>
    <cfRule type="expression" dxfId="278" priority="4">
      <formula>$A55=2</formula>
    </cfRule>
    <cfRule type="expression" dxfId="277" priority="5">
      <formula>AND($A55=1,OR($B55&lt;&gt;0,LEFT($C55,1)="I",LEFT($C55,1)="C",RIGHT($C55,1)="X"))</formula>
    </cfRule>
    <cfRule type="expression" dxfId="276" priority="6">
      <formula>$A55=0</formula>
    </cfRule>
  </conditionalFormatting>
  <conditionalFormatting sqref="H55">
    <cfRule type="expression" dxfId="275" priority="2">
      <formula>$A55=4</formula>
    </cfRule>
  </conditionalFormatting>
  <printOptions horizontalCentered="1"/>
  <pageMargins left="0.19685039370078741" right="0.19685039370078741" top="0.62992125984251968" bottom="0.19685039370078741" header="0.19685039370078741" footer="0.19685039370078741"/>
  <pageSetup paperSize="9" scale="93" orientation="portrait" blackAndWhite="1" r:id="rId1"/>
  <headerFooter>
    <oddHeader>&amp;R&amp;"Arial,Tučné"&amp;10&amp;K03+036Příkaz ředitele č. xx/2020
Příloha č.2: číselník NS 2020 všechna pracoviště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05FAD-7FC3-476D-B533-C21E1F245056}">
  <sheetPr>
    <pageSetUpPr fitToPage="1"/>
  </sheetPr>
  <dimension ref="A2:S497"/>
  <sheetViews>
    <sheetView showGridLines="0" workbookViewId="0"/>
  </sheetViews>
  <sheetFormatPr defaultRowHeight="15" x14ac:dyDescent="0.25"/>
  <cols>
    <col min="1" max="1" width="2.28515625" style="417" customWidth="1"/>
    <col min="2" max="2" width="2" style="417" customWidth="1"/>
    <col min="3" max="3" width="11.42578125" style="330" customWidth="1"/>
    <col min="4" max="4" width="33.5703125" style="330" customWidth="1"/>
    <col min="5" max="5" width="13.85546875" style="330" customWidth="1"/>
    <col min="6" max="6" width="12.28515625" style="330" customWidth="1"/>
    <col min="7" max="7" width="19.7109375" style="330" hidden="1" customWidth="1"/>
    <col min="8" max="8" width="23.28515625" style="330" customWidth="1"/>
    <col min="9" max="19" width="9.140625" style="330" customWidth="1"/>
    <col min="20" max="16384" width="9.140625" style="330"/>
  </cols>
  <sheetData>
    <row r="2" spans="1:19" ht="4.5" customHeight="1" x14ac:dyDescent="0.25"/>
    <row r="3" spans="1:19" ht="29.25" customHeight="1" x14ac:dyDescent="0.25">
      <c r="C3" s="447" t="s">
        <v>1963</v>
      </c>
      <c r="D3" s="448"/>
      <c r="E3" s="448"/>
      <c r="F3" s="448"/>
      <c r="G3" s="448"/>
      <c r="H3" s="449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</row>
    <row r="4" spans="1:19" ht="4.5" customHeight="1" x14ac:dyDescent="0.25">
      <c r="C4" s="423"/>
      <c r="D4" s="423"/>
      <c r="E4" s="423"/>
      <c r="F4" s="423"/>
      <c r="G4" s="423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</row>
    <row r="5" spans="1:19" ht="12.75" customHeight="1" x14ac:dyDescent="0.25">
      <c r="C5" s="424" t="s">
        <v>1964</v>
      </c>
      <c r="I5" s="425"/>
      <c r="K5" s="421"/>
      <c r="L5" s="421"/>
      <c r="M5" s="421"/>
      <c r="N5" s="421"/>
      <c r="O5" s="421"/>
      <c r="P5" s="421"/>
      <c r="Q5" s="421"/>
      <c r="R5" s="421"/>
      <c r="S5" s="421"/>
    </row>
    <row r="6" spans="1:19" ht="4.5" customHeight="1" x14ac:dyDescent="0.25">
      <c r="C6" s="424"/>
      <c r="I6" s="425"/>
      <c r="K6" s="421"/>
      <c r="L6" s="421"/>
      <c r="M6" s="421"/>
      <c r="N6" s="421"/>
      <c r="O6" s="421"/>
      <c r="P6" s="421"/>
      <c r="Q6" s="421"/>
      <c r="R6" s="421"/>
      <c r="S6" s="421"/>
    </row>
    <row r="7" spans="1:19" ht="12.75" customHeight="1" x14ac:dyDescent="0.25">
      <c r="C7" s="426" t="s">
        <v>1995</v>
      </c>
      <c r="D7" s="424"/>
      <c r="E7" s="424"/>
      <c r="F7" s="424"/>
      <c r="G7" s="424"/>
      <c r="H7" s="424"/>
      <c r="I7" s="425"/>
      <c r="K7" s="421"/>
      <c r="L7" s="421"/>
      <c r="M7" s="421"/>
      <c r="N7" s="421"/>
      <c r="O7" s="421"/>
      <c r="P7" s="421"/>
      <c r="Q7" s="421"/>
      <c r="R7" s="421"/>
      <c r="S7" s="421"/>
    </row>
    <row r="8" spans="1:19" ht="4.5" customHeight="1" x14ac:dyDescent="0.25">
      <c r="C8" s="425"/>
      <c r="D8" s="425"/>
      <c r="E8" s="425"/>
      <c r="F8" s="425"/>
      <c r="G8" s="425"/>
      <c r="H8" s="425"/>
      <c r="I8" s="425"/>
      <c r="K8" s="421"/>
      <c r="L8" s="421"/>
      <c r="M8" s="421"/>
      <c r="N8" s="421"/>
      <c r="O8" s="421"/>
      <c r="P8" s="421"/>
      <c r="Q8" s="421"/>
      <c r="R8" s="421"/>
      <c r="S8" s="421"/>
    </row>
    <row r="9" spans="1:19" ht="57.75" customHeight="1" x14ac:dyDescent="0.25">
      <c r="C9" s="450" t="s">
        <v>1965</v>
      </c>
      <c r="D9" s="450" t="s">
        <v>1966</v>
      </c>
      <c r="E9" s="428"/>
      <c r="F9" s="451"/>
      <c r="G9" s="452" t="s">
        <v>1967</v>
      </c>
      <c r="H9" s="452" t="s">
        <v>1968</v>
      </c>
      <c r="I9" s="453"/>
      <c r="J9" s="453"/>
      <c r="K9" s="421"/>
      <c r="L9" s="421"/>
      <c r="M9" s="421"/>
      <c r="N9" s="421"/>
      <c r="O9" s="421"/>
      <c r="P9" s="421"/>
      <c r="Q9" s="421"/>
      <c r="R9" s="421"/>
      <c r="S9" s="421"/>
    </row>
    <row r="10" spans="1:19" ht="12.75" customHeight="1" x14ac:dyDescent="0.25">
      <c r="A10" s="431">
        <v>1</v>
      </c>
      <c r="B10" s="431">
        <v>4</v>
      </c>
      <c r="C10" s="432" t="s">
        <v>10</v>
      </c>
      <c r="D10" s="433" t="s">
        <v>1969</v>
      </c>
      <c r="E10" s="454"/>
      <c r="F10" s="455"/>
      <c r="G10" s="436">
        <v>-7718184107.8073301</v>
      </c>
      <c r="H10" s="436">
        <f>+G10/1000*-1</f>
        <v>7718184.1078073299</v>
      </c>
      <c r="I10" s="437"/>
      <c r="J10" s="437"/>
      <c r="K10" s="437"/>
      <c r="L10" s="437"/>
      <c r="M10" s="437"/>
      <c r="N10" s="437"/>
      <c r="O10" s="437"/>
      <c r="P10" s="437"/>
      <c r="Q10" s="437"/>
      <c r="R10" s="437"/>
      <c r="S10" s="437"/>
    </row>
    <row r="11" spans="1:19" ht="12.75" customHeight="1" x14ac:dyDescent="0.25">
      <c r="A11" s="431">
        <v>2</v>
      </c>
      <c r="B11" s="431">
        <v>3</v>
      </c>
      <c r="C11" s="432" t="s">
        <v>11</v>
      </c>
      <c r="D11" s="433" t="s">
        <v>12</v>
      </c>
      <c r="E11" s="434"/>
      <c r="F11" s="435"/>
      <c r="G11" s="436">
        <v>-3453995256.1125998</v>
      </c>
      <c r="H11" s="436">
        <f>+G11/1000*-1</f>
        <v>3453995.2561125997</v>
      </c>
      <c r="I11" s="437"/>
      <c r="J11" s="437"/>
      <c r="K11" s="437"/>
      <c r="L11" s="437"/>
      <c r="M11" s="437"/>
      <c r="N11" s="437"/>
      <c r="O11" s="437"/>
      <c r="P11" s="437"/>
      <c r="Q11" s="437"/>
      <c r="R11" s="437"/>
      <c r="S11" s="437"/>
    </row>
    <row r="12" spans="1:19" ht="12.75" customHeight="1" x14ac:dyDescent="0.25">
      <c r="A12" s="431">
        <v>3</v>
      </c>
      <c r="B12" s="431">
        <v>2</v>
      </c>
      <c r="C12" s="432" t="s">
        <v>13</v>
      </c>
      <c r="D12" s="433" t="s">
        <v>14</v>
      </c>
      <c r="E12" s="434"/>
      <c r="F12" s="435"/>
      <c r="G12" s="436">
        <v>-3091567143</v>
      </c>
      <c r="H12" s="436">
        <f t="shared" ref="H12:H75" si="0">+G12/1000*-1</f>
        <v>3091567.1430000002</v>
      </c>
      <c r="I12" s="437"/>
      <c r="J12" s="437"/>
      <c r="K12" s="437"/>
      <c r="L12" s="437"/>
      <c r="M12" s="437"/>
      <c r="N12" s="437"/>
      <c r="O12" s="437"/>
      <c r="P12" s="437"/>
      <c r="Q12" s="437"/>
      <c r="R12" s="437"/>
      <c r="S12" s="437"/>
    </row>
    <row r="13" spans="1:19" ht="12.75" customHeight="1" x14ac:dyDescent="0.25">
      <c r="A13" s="431">
        <v>4</v>
      </c>
      <c r="B13" s="431">
        <v>1</v>
      </c>
      <c r="C13" s="432" t="s">
        <v>1996</v>
      </c>
      <c r="D13" s="433" t="s">
        <v>20</v>
      </c>
      <c r="E13" s="434"/>
      <c r="F13" s="435"/>
      <c r="G13" s="436">
        <v>-10000000</v>
      </c>
      <c r="H13" s="436">
        <f t="shared" si="0"/>
        <v>10000</v>
      </c>
      <c r="I13" s="437"/>
      <c r="J13" s="437"/>
      <c r="K13" s="437"/>
      <c r="L13" s="437"/>
      <c r="M13" s="437"/>
      <c r="N13" s="437"/>
      <c r="O13" s="437"/>
      <c r="P13" s="437"/>
      <c r="Q13" s="437"/>
      <c r="R13" s="437"/>
      <c r="S13" s="437"/>
    </row>
    <row r="14" spans="1:19" ht="12.75" customHeight="1" x14ac:dyDescent="0.25">
      <c r="A14" s="431">
        <v>5</v>
      </c>
      <c r="B14" s="431">
        <v>0</v>
      </c>
      <c r="C14" s="432" t="s">
        <v>1997</v>
      </c>
      <c r="D14" s="433" t="s">
        <v>21</v>
      </c>
      <c r="E14" s="434"/>
      <c r="F14" s="435"/>
      <c r="G14" s="436">
        <v>-10000000</v>
      </c>
      <c r="H14" s="436">
        <f t="shared" si="0"/>
        <v>10000</v>
      </c>
      <c r="I14" s="437"/>
      <c r="J14" s="437"/>
      <c r="K14" s="437"/>
      <c r="L14" s="437"/>
      <c r="M14" s="437"/>
      <c r="N14" s="437"/>
      <c r="O14" s="437"/>
      <c r="P14" s="437"/>
      <c r="Q14" s="437"/>
      <c r="R14" s="437"/>
      <c r="S14" s="437"/>
    </row>
    <row r="15" spans="1:19" ht="12.75" customHeight="1" x14ac:dyDescent="0.25">
      <c r="A15" s="431">
        <v>4</v>
      </c>
      <c r="B15" s="431">
        <v>1</v>
      </c>
      <c r="C15" s="432" t="s">
        <v>1998</v>
      </c>
      <c r="D15" s="433" t="s">
        <v>22</v>
      </c>
      <c r="E15" s="434"/>
      <c r="F15" s="435"/>
      <c r="G15" s="436">
        <v>-3250000</v>
      </c>
      <c r="H15" s="436">
        <f t="shared" si="0"/>
        <v>3250</v>
      </c>
      <c r="I15" s="437"/>
      <c r="J15" s="437"/>
      <c r="K15" s="437"/>
      <c r="L15" s="437"/>
      <c r="M15" s="437"/>
      <c r="N15" s="437"/>
      <c r="O15" s="437"/>
      <c r="P15" s="437"/>
      <c r="Q15" s="437"/>
      <c r="R15" s="437"/>
      <c r="S15" s="437"/>
    </row>
    <row r="16" spans="1:19" ht="12.75" customHeight="1" x14ac:dyDescent="0.25">
      <c r="A16" s="431">
        <v>5</v>
      </c>
      <c r="B16" s="431">
        <v>0</v>
      </c>
      <c r="C16" s="432" t="s">
        <v>1999</v>
      </c>
      <c r="D16" s="433" t="s">
        <v>23</v>
      </c>
      <c r="E16" s="434"/>
      <c r="F16" s="435"/>
      <c r="G16" s="436">
        <v>-550000</v>
      </c>
      <c r="H16" s="436">
        <f t="shared" si="0"/>
        <v>550</v>
      </c>
      <c r="I16" s="437"/>
      <c r="J16" s="437"/>
      <c r="K16" s="437"/>
      <c r="L16" s="437"/>
      <c r="M16" s="437"/>
      <c r="N16" s="437"/>
      <c r="O16" s="437"/>
      <c r="P16" s="437"/>
      <c r="Q16" s="437"/>
      <c r="R16" s="437"/>
      <c r="S16" s="437"/>
    </row>
    <row r="17" spans="1:19" ht="12.75" customHeight="1" x14ac:dyDescent="0.25">
      <c r="A17" s="431">
        <v>5</v>
      </c>
      <c r="B17" s="431">
        <v>0</v>
      </c>
      <c r="C17" s="432" t="s">
        <v>2000</v>
      </c>
      <c r="D17" s="433" t="s">
        <v>24</v>
      </c>
      <c r="E17" s="434"/>
      <c r="F17" s="435"/>
      <c r="G17" s="436">
        <v>-2500000</v>
      </c>
      <c r="H17" s="436">
        <f t="shared" si="0"/>
        <v>2500</v>
      </c>
      <c r="I17" s="437"/>
      <c r="J17" s="437"/>
      <c r="K17" s="437"/>
      <c r="L17" s="437"/>
      <c r="M17" s="437"/>
      <c r="N17" s="437"/>
      <c r="O17" s="437"/>
      <c r="P17" s="437"/>
      <c r="Q17" s="437"/>
      <c r="R17" s="437"/>
      <c r="S17" s="437"/>
    </row>
    <row r="18" spans="1:19" ht="12.75" customHeight="1" x14ac:dyDescent="0.25">
      <c r="A18" s="431">
        <v>5</v>
      </c>
      <c r="B18" s="431">
        <v>0</v>
      </c>
      <c r="C18" s="432" t="s">
        <v>2001</v>
      </c>
      <c r="D18" s="433" t="s">
        <v>25</v>
      </c>
      <c r="E18" s="434"/>
      <c r="F18" s="435"/>
      <c r="G18" s="436">
        <v>-200000</v>
      </c>
      <c r="H18" s="436">
        <f t="shared" si="0"/>
        <v>200</v>
      </c>
      <c r="I18" s="437"/>
      <c r="J18" s="437"/>
      <c r="K18" s="437"/>
      <c r="L18" s="437"/>
      <c r="M18" s="437"/>
      <c r="N18" s="437"/>
      <c r="O18" s="437"/>
      <c r="P18" s="437"/>
      <c r="Q18" s="437"/>
      <c r="R18" s="437"/>
      <c r="S18" s="437"/>
    </row>
    <row r="19" spans="1:19" ht="12.75" customHeight="1" x14ac:dyDescent="0.25">
      <c r="A19" s="431">
        <v>4</v>
      </c>
      <c r="B19" s="431">
        <v>1</v>
      </c>
      <c r="C19" s="432" t="s">
        <v>2002</v>
      </c>
      <c r="D19" s="433" t="s">
        <v>27</v>
      </c>
      <c r="E19" s="434"/>
      <c r="F19" s="435"/>
      <c r="G19" s="436">
        <v>-1834014800</v>
      </c>
      <c r="H19" s="436">
        <f t="shared" si="0"/>
        <v>1834014.8</v>
      </c>
      <c r="I19" s="437"/>
      <c r="J19" s="437"/>
      <c r="K19" s="437"/>
      <c r="L19" s="437"/>
      <c r="M19" s="437"/>
      <c r="N19" s="437"/>
      <c r="O19" s="437"/>
      <c r="P19" s="437"/>
      <c r="Q19" s="437"/>
      <c r="R19" s="437"/>
      <c r="S19" s="437"/>
    </row>
    <row r="20" spans="1:19" ht="12.75" customHeight="1" x14ac:dyDescent="0.25">
      <c r="A20" s="431">
        <v>5</v>
      </c>
      <c r="B20" s="431">
        <v>0</v>
      </c>
      <c r="C20" s="432" t="s">
        <v>2003</v>
      </c>
      <c r="D20" s="433" t="s">
        <v>28</v>
      </c>
      <c r="E20" s="434"/>
      <c r="F20" s="435"/>
      <c r="G20" s="436">
        <v>-208038700</v>
      </c>
      <c r="H20" s="436">
        <f t="shared" si="0"/>
        <v>208038.7</v>
      </c>
      <c r="I20" s="437"/>
      <c r="J20" s="437"/>
      <c r="K20" s="437"/>
      <c r="L20" s="437"/>
      <c r="M20" s="437"/>
      <c r="N20" s="437"/>
      <c r="O20" s="437"/>
      <c r="P20" s="437"/>
      <c r="Q20" s="437"/>
      <c r="R20" s="437"/>
      <c r="S20" s="437"/>
    </row>
    <row r="21" spans="1:19" ht="12.75" customHeight="1" x14ac:dyDescent="0.25">
      <c r="A21" s="431">
        <v>5</v>
      </c>
      <c r="B21" s="431">
        <v>0</v>
      </c>
      <c r="C21" s="432" t="s">
        <v>2004</v>
      </c>
      <c r="D21" s="433" t="s">
        <v>29</v>
      </c>
      <c r="E21" s="434"/>
      <c r="F21" s="435"/>
      <c r="G21" s="436">
        <v>-8950000</v>
      </c>
      <c r="H21" s="436">
        <f t="shared" si="0"/>
        <v>8950</v>
      </c>
      <c r="I21" s="437"/>
      <c r="J21" s="437"/>
      <c r="K21" s="437"/>
      <c r="L21" s="437"/>
      <c r="M21" s="437"/>
      <c r="N21" s="437"/>
      <c r="O21" s="437"/>
      <c r="P21" s="437"/>
      <c r="Q21" s="437"/>
      <c r="R21" s="437"/>
      <c r="S21" s="437"/>
    </row>
    <row r="22" spans="1:19" ht="12.75" customHeight="1" x14ac:dyDescent="0.25">
      <c r="A22" s="431">
        <v>5</v>
      </c>
      <c r="B22" s="431">
        <v>0</v>
      </c>
      <c r="C22" s="432" t="s">
        <v>2005</v>
      </c>
      <c r="D22" s="433" t="s">
        <v>30</v>
      </c>
      <c r="E22" s="434"/>
      <c r="F22" s="435"/>
      <c r="G22" s="436">
        <v>-340000</v>
      </c>
      <c r="H22" s="436">
        <f t="shared" si="0"/>
        <v>340</v>
      </c>
      <c r="I22" s="437"/>
      <c r="J22" s="437"/>
      <c r="K22" s="437"/>
      <c r="L22" s="437"/>
      <c r="M22" s="437"/>
      <c r="N22" s="437"/>
      <c r="O22" s="437"/>
      <c r="P22" s="437"/>
      <c r="Q22" s="437"/>
      <c r="R22" s="437"/>
      <c r="S22" s="437"/>
    </row>
    <row r="23" spans="1:19" ht="12.75" customHeight="1" x14ac:dyDescent="0.25">
      <c r="A23" s="431">
        <v>5</v>
      </c>
      <c r="B23" s="431">
        <v>0</v>
      </c>
      <c r="C23" s="432" t="s">
        <v>2006</v>
      </c>
      <c r="D23" s="433" t="s">
        <v>31</v>
      </c>
      <c r="E23" s="434"/>
      <c r="F23" s="435"/>
      <c r="G23" s="436">
        <v>-26020000</v>
      </c>
      <c r="H23" s="436">
        <f t="shared" si="0"/>
        <v>26020</v>
      </c>
      <c r="I23" s="437"/>
      <c r="J23" s="437"/>
      <c r="K23" s="437"/>
      <c r="L23" s="437"/>
      <c r="M23" s="437"/>
      <c r="N23" s="437"/>
      <c r="O23" s="437"/>
      <c r="P23" s="437"/>
      <c r="Q23" s="437"/>
      <c r="R23" s="437"/>
      <c r="S23" s="437"/>
    </row>
    <row r="24" spans="1:19" ht="12.75" customHeight="1" x14ac:dyDescent="0.25">
      <c r="A24" s="431">
        <v>5</v>
      </c>
      <c r="B24" s="431">
        <v>0</v>
      </c>
      <c r="C24" s="432" t="s">
        <v>2007</v>
      </c>
      <c r="D24" s="433" t="s">
        <v>32</v>
      </c>
      <c r="E24" s="434"/>
      <c r="F24" s="435"/>
      <c r="G24" s="436">
        <v>-3571000</v>
      </c>
      <c r="H24" s="436">
        <f t="shared" si="0"/>
        <v>3571</v>
      </c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</row>
    <row r="25" spans="1:19" ht="12.75" customHeight="1" x14ac:dyDescent="0.25">
      <c r="A25" s="431">
        <v>5</v>
      </c>
      <c r="B25" s="431">
        <v>0</v>
      </c>
      <c r="C25" s="432" t="s">
        <v>2008</v>
      </c>
      <c r="D25" s="433" t="s">
        <v>33</v>
      </c>
      <c r="E25" s="434"/>
      <c r="F25" s="435"/>
      <c r="G25" s="436">
        <v>-1805000</v>
      </c>
      <c r="H25" s="436">
        <f t="shared" si="0"/>
        <v>1805</v>
      </c>
      <c r="I25" s="437"/>
      <c r="J25" s="437"/>
      <c r="K25" s="437"/>
      <c r="L25" s="437"/>
      <c r="M25" s="437"/>
      <c r="N25" s="437"/>
      <c r="O25" s="437"/>
      <c r="P25" s="437"/>
      <c r="Q25" s="437"/>
      <c r="R25" s="437"/>
      <c r="S25" s="437"/>
    </row>
    <row r="26" spans="1:19" ht="12.75" customHeight="1" x14ac:dyDescent="0.25">
      <c r="A26" s="431">
        <v>5</v>
      </c>
      <c r="B26" s="431">
        <v>0</v>
      </c>
      <c r="C26" s="432" t="s">
        <v>2009</v>
      </c>
      <c r="D26" s="433" t="s">
        <v>34</v>
      </c>
      <c r="E26" s="434"/>
      <c r="F26" s="435"/>
      <c r="G26" s="436">
        <v>-50793000</v>
      </c>
      <c r="H26" s="436">
        <f t="shared" si="0"/>
        <v>50793</v>
      </c>
      <c r="I26" s="437"/>
      <c r="J26" s="437"/>
      <c r="K26" s="437"/>
      <c r="L26" s="437"/>
      <c r="M26" s="437"/>
      <c r="N26" s="437"/>
      <c r="O26" s="437"/>
      <c r="P26" s="437"/>
      <c r="Q26" s="437"/>
      <c r="R26" s="437"/>
      <c r="S26" s="437"/>
    </row>
    <row r="27" spans="1:19" ht="12.75" customHeight="1" x14ac:dyDescent="0.25">
      <c r="A27" s="431">
        <v>5</v>
      </c>
      <c r="B27" s="431">
        <v>0</v>
      </c>
      <c r="C27" s="432" t="s">
        <v>2010</v>
      </c>
      <c r="D27" s="433" t="s">
        <v>35</v>
      </c>
      <c r="E27" s="434"/>
      <c r="F27" s="435"/>
      <c r="G27" s="436">
        <v>-12149000</v>
      </c>
      <c r="H27" s="436">
        <f t="shared" si="0"/>
        <v>12149</v>
      </c>
      <c r="I27" s="437"/>
      <c r="J27" s="437"/>
      <c r="K27" s="437"/>
      <c r="L27" s="437"/>
      <c r="M27" s="437"/>
      <c r="N27" s="437"/>
      <c r="O27" s="437"/>
      <c r="P27" s="437"/>
      <c r="Q27" s="437"/>
      <c r="R27" s="437"/>
      <c r="S27" s="437"/>
    </row>
    <row r="28" spans="1:19" ht="12.75" customHeight="1" x14ac:dyDescent="0.25">
      <c r="A28" s="431">
        <v>5</v>
      </c>
      <c r="B28" s="431">
        <v>0</v>
      </c>
      <c r="C28" s="432" t="s">
        <v>2011</v>
      </c>
      <c r="D28" s="433" t="s">
        <v>36</v>
      </c>
      <c r="E28" s="434"/>
      <c r="F28" s="435"/>
      <c r="G28" s="436">
        <v>-8640000</v>
      </c>
      <c r="H28" s="436">
        <f t="shared" si="0"/>
        <v>8640</v>
      </c>
      <c r="I28" s="437"/>
      <c r="J28" s="437"/>
      <c r="K28" s="437"/>
      <c r="L28" s="437"/>
      <c r="M28" s="437"/>
      <c r="N28" s="437"/>
      <c r="O28" s="437"/>
      <c r="P28" s="437"/>
      <c r="Q28" s="437"/>
      <c r="R28" s="437"/>
      <c r="S28" s="437"/>
    </row>
    <row r="29" spans="1:19" ht="12.75" customHeight="1" x14ac:dyDescent="0.25">
      <c r="A29" s="431">
        <v>5</v>
      </c>
      <c r="B29" s="431">
        <v>0</v>
      </c>
      <c r="C29" s="432" t="s">
        <v>2012</v>
      </c>
      <c r="D29" s="433" t="s">
        <v>37</v>
      </c>
      <c r="E29" s="434"/>
      <c r="F29" s="435"/>
      <c r="G29" s="436">
        <v>-19475000</v>
      </c>
      <c r="H29" s="436">
        <f t="shared" si="0"/>
        <v>19475</v>
      </c>
      <c r="I29" s="437"/>
      <c r="J29" s="437"/>
      <c r="K29" s="437"/>
      <c r="L29" s="437"/>
      <c r="M29" s="437"/>
      <c r="N29" s="437"/>
      <c r="O29" s="437"/>
      <c r="P29" s="437"/>
      <c r="Q29" s="437"/>
      <c r="R29" s="437"/>
      <c r="S29" s="437"/>
    </row>
    <row r="30" spans="1:19" ht="12.75" customHeight="1" x14ac:dyDescent="0.25">
      <c r="A30" s="431">
        <v>5</v>
      </c>
      <c r="B30" s="431">
        <v>0</v>
      </c>
      <c r="C30" s="432" t="s">
        <v>2013</v>
      </c>
      <c r="D30" s="433" t="s">
        <v>38</v>
      </c>
      <c r="E30" s="434"/>
      <c r="F30" s="435"/>
      <c r="G30" s="436">
        <v>-3455000</v>
      </c>
      <c r="H30" s="436">
        <f t="shared" si="0"/>
        <v>3455</v>
      </c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</row>
    <row r="31" spans="1:19" ht="12.75" customHeight="1" x14ac:dyDescent="0.25">
      <c r="A31" s="431">
        <v>5</v>
      </c>
      <c r="B31" s="431">
        <v>0</v>
      </c>
      <c r="C31" s="432" t="s">
        <v>2014</v>
      </c>
      <c r="D31" s="433" t="s">
        <v>39</v>
      </c>
      <c r="E31" s="434"/>
      <c r="F31" s="435"/>
      <c r="G31" s="436">
        <v>-19969000</v>
      </c>
      <c r="H31" s="436">
        <f t="shared" si="0"/>
        <v>19969</v>
      </c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</row>
    <row r="32" spans="1:19" ht="12.75" customHeight="1" x14ac:dyDescent="0.25">
      <c r="A32" s="431">
        <v>5</v>
      </c>
      <c r="B32" s="431">
        <v>0</v>
      </c>
      <c r="C32" s="432" t="s">
        <v>2015</v>
      </c>
      <c r="D32" s="433" t="s">
        <v>40</v>
      </c>
      <c r="E32" s="434"/>
      <c r="F32" s="435"/>
      <c r="G32" s="436">
        <v>-10522000</v>
      </c>
      <c r="H32" s="436">
        <f t="shared" si="0"/>
        <v>10522</v>
      </c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</row>
    <row r="33" spans="1:19" ht="12.75" customHeight="1" x14ac:dyDescent="0.25">
      <c r="A33" s="431">
        <v>5</v>
      </c>
      <c r="B33" s="431">
        <v>0</v>
      </c>
      <c r="C33" s="432" t="s">
        <v>2016</v>
      </c>
      <c r="D33" s="433" t="s">
        <v>41</v>
      </c>
      <c r="E33" s="434"/>
      <c r="F33" s="435"/>
      <c r="G33" s="436">
        <v>-300000</v>
      </c>
      <c r="H33" s="436">
        <f t="shared" si="0"/>
        <v>300</v>
      </c>
      <c r="I33" s="437"/>
      <c r="J33" s="437"/>
      <c r="K33" s="437"/>
      <c r="L33" s="437"/>
      <c r="M33" s="437"/>
      <c r="N33" s="437"/>
      <c r="O33" s="437"/>
      <c r="P33" s="437"/>
      <c r="Q33" s="437"/>
      <c r="R33" s="437"/>
      <c r="S33" s="437"/>
    </row>
    <row r="34" spans="1:19" ht="12.75" customHeight="1" x14ac:dyDescent="0.25">
      <c r="A34" s="431">
        <v>5</v>
      </c>
      <c r="B34" s="431">
        <v>0</v>
      </c>
      <c r="C34" s="432" t="s">
        <v>2017</v>
      </c>
      <c r="D34" s="433" t="s">
        <v>42</v>
      </c>
      <c r="E34" s="434"/>
      <c r="F34" s="435"/>
      <c r="G34" s="436">
        <v>-1340000000</v>
      </c>
      <c r="H34" s="436">
        <f t="shared" si="0"/>
        <v>1340000</v>
      </c>
      <c r="I34" s="437"/>
      <c r="J34" s="437"/>
      <c r="K34" s="437"/>
      <c r="L34" s="437"/>
      <c r="M34" s="437"/>
      <c r="N34" s="437"/>
      <c r="O34" s="437"/>
      <c r="P34" s="437"/>
      <c r="Q34" s="437"/>
      <c r="R34" s="437"/>
      <c r="S34" s="437"/>
    </row>
    <row r="35" spans="1:19" ht="12.75" customHeight="1" x14ac:dyDescent="0.25">
      <c r="A35" s="431">
        <v>5</v>
      </c>
      <c r="B35" s="431">
        <v>0</v>
      </c>
      <c r="C35" s="432" t="s">
        <v>2018</v>
      </c>
      <c r="D35" s="433" t="s">
        <v>43</v>
      </c>
      <c r="E35" s="434"/>
      <c r="F35" s="435"/>
      <c r="G35" s="436">
        <v>-114014800</v>
      </c>
      <c r="H35" s="436">
        <f t="shared" si="0"/>
        <v>114014.8</v>
      </c>
      <c r="I35" s="437"/>
      <c r="J35" s="437"/>
      <c r="K35" s="437"/>
      <c r="L35" s="437"/>
      <c r="M35" s="437"/>
      <c r="N35" s="437"/>
      <c r="O35" s="437"/>
      <c r="P35" s="437"/>
      <c r="Q35" s="437"/>
      <c r="R35" s="437"/>
      <c r="S35" s="437"/>
    </row>
    <row r="36" spans="1:19" ht="12.75" customHeight="1" x14ac:dyDescent="0.25">
      <c r="A36" s="431">
        <v>5</v>
      </c>
      <c r="B36" s="431">
        <v>0</v>
      </c>
      <c r="C36" s="432" t="s">
        <v>2019</v>
      </c>
      <c r="D36" s="433" t="s">
        <v>44</v>
      </c>
      <c r="E36" s="434"/>
      <c r="F36" s="435"/>
      <c r="G36" s="436">
        <v>-5932300</v>
      </c>
      <c r="H36" s="436">
        <f t="shared" si="0"/>
        <v>5932.3</v>
      </c>
      <c r="I36" s="437"/>
      <c r="J36" s="437"/>
      <c r="K36" s="437"/>
      <c r="L36" s="437"/>
      <c r="M36" s="437"/>
      <c r="N36" s="437"/>
      <c r="O36" s="437"/>
      <c r="P36" s="437"/>
      <c r="Q36" s="437"/>
      <c r="R36" s="437"/>
      <c r="S36" s="437"/>
    </row>
    <row r="37" spans="1:19" ht="12.75" customHeight="1" x14ac:dyDescent="0.25">
      <c r="A37" s="431">
        <v>5</v>
      </c>
      <c r="B37" s="431">
        <v>0</v>
      </c>
      <c r="C37" s="432" t="s">
        <v>2020</v>
      </c>
      <c r="D37" s="433" t="s">
        <v>45</v>
      </c>
      <c r="E37" s="434"/>
      <c r="F37" s="435"/>
      <c r="G37" s="436">
        <v>-39999.999999999898</v>
      </c>
      <c r="H37" s="436">
        <f t="shared" si="0"/>
        <v>39.999999999999901</v>
      </c>
      <c r="I37" s="437"/>
      <c r="J37" s="437"/>
      <c r="K37" s="437"/>
      <c r="L37" s="437"/>
      <c r="M37" s="437"/>
      <c r="N37" s="437"/>
      <c r="O37" s="437"/>
      <c r="P37" s="437"/>
      <c r="Q37" s="437"/>
      <c r="R37" s="437"/>
      <c r="S37" s="437"/>
    </row>
    <row r="38" spans="1:19" ht="12.75" customHeight="1" x14ac:dyDescent="0.25">
      <c r="A38" s="431">
        <v>4</v>
      </c>
      <c r="B38" s="431">
        <v>1</v>
      </c>
      <c r="C38" s="432" t="s">
        <v>2021</v>
      </c>
      <c r="D38" s="433" t="s">
        <v>46</v>
      </c>
      <c r="E38" s="434"/>
      <c r="F38" s="435"/>
      <c r="G38" s="436">
        <v>-72131000</v>
      </c>
      <c r="H38" s="436">
        <f t="shared" si="0"/>
        <v>72131</v>
      </c>
      <c r="I38" s="437"/>
      <c r="J38" s="437"/>
      <c r="K38" s="437"/>
      <c r="L38" s="437"/>
      <c r="M38" s="437"/>
      <c r="N38" s="437"/>
      <c r="O38" s="437"/>
      <c r="P38" s="437"/>
      <c r="Q38" s="437"/>
      <c r="R38" s="437"/>
      <c r="S38" s="437"/>
    </row>
    <row r="39" spans="1:19" ht="12.75" customHeight="1" x14ac:dyDescent="0.25">
      <c r="A39" s="431">
        <v>5</v>
      </c>
      <c r="B39" s="431">
        <v>0</v>
      </c>
      <c r="C39" s="432" t="s">
        <v>2022</v>
      </c>
      <c r="D39" s="433" t="s">
        <v>47</v>
      </c>
      <c r="E39" s="434"/>
      <c r="F39" s="435"/>
      <c r="G39" s="436">
        <v>-67665000</v>
      </c>
      <c r="H39" s="436">
        <f t="shared" si="0"/>
        <v>67665</v>
      </c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7"/>
    </row>
    <row r="40" spans="1:19" ht="12.75" customHeight="1" x14ac:dyDescent="0.25">
      <c r="A40" s="431">
        <v>5</v>
      </c>
      <c r="B40" s="431">
        <v>0</v>
      </c>
      <c r="C40" s="432" t="s">
        <v>2023</v>
      </c>
      <c r="D40" s="433" t="s">
        <v>48</v>
      </c>
      <c r="E40" s="434"/>
      <c r="F40" s="435"/>
      <c r="G40" s="436">
        <v>-4466000</v>
      </c>
      <c r="H40" s="436">
        <f t="shared" si="0"/>
        <v>4466</v>
      </c>
      <c r="I40" s="437"/>
      <c r="J40" s="437"/>
      <c r="K40" s="437"/>
      <c r="L40" s="437"/>
      <c r="M40" s="437"/>
      <c r="N40" s="437"/>
      <c r="O40" s="437"/>
      <c r="P40" s="437"/>
      <c r="Q40" s="437"/>
      <c r="R40" s="437"/>
      <c r="S40" s="437"/>
    </row>
    <row r="41" spans="1:19" ht="12.75" customHeight="1" x14ac:dyDescent="0.25">
      <c r="A41" s="431">
        <v>4</v>
      </c>
      <c r="B41" s="431">
        <v>1</v>
      </c>
      <c r="C41" s="432" t="s">
        <v>2024</v>
      </c>
      <c r="D41" s="433" t="s">
        <v>49</v>
      </c>
      <c r="E41" s="434"/>
      <c r="F41" s="435"/>
      <c r="G41" s="436">
        <v>-1036380000</v>
      </c>
      <c r="H41" s="436">
        <f t="shared" si="0"/>
        <v>1036380</v>
      </c>
      <c r="I41" s="437"/>
      <c r="J41" s="437"/>
      <c r="K41" s="437"/>
      <c r="L41" s="437"/>
      <c r="M41" s="437"/>
      <c r="N41" s="437"/>
      <c r="O41" s="437"/>
      <c r="P41" s="437"/>
      <c r="Q41" s="437"/>
      <c r="R41" s="437"/>
      <c r="S41" s="437"/>
    </row>
    <row r="42" spans="1:19" ht="12.75" customHeight="1" x14ac:dyDescent="0.25">
      <c r="A42" s="431">
        <v>5</v>
      </c>
      <c r="B42" s="431">
        <v>0</v>
      </c>
      <c r="C42" s="432" t="s">
        <v>2025</v>
      </c>
      <c r="D42" s="433" t="s">
        <v>50</v>
      </c>
      <c r="E42" s="434"/>
      <c r="F42" s="435"/>
      <c r="G42" s="436">
        <v>-25126000</v>
      </c>
      <c r="H42" s="436">
        <f t="shared" si="0"/>
        <v>25126</v>
      </c>
      <c r="I42" s="437"/>
      <c r="J42" s="437"/>
      <c r="K42" s="437"/>
      <c r="L42" s="437"/>
      <c r="M42" s="437"/>
      <c r="N42" s="437"/>
      <c r="O42" s="437"/>
      <c r="P42" s="437"/>
      <c r="Q42" s="437"/>
      <c r="R42" s="437"/>
      <c r="S42" s="437"/>
    </row>
    <row r="43" spans="1:19" ht="12.75" customHeight="1" x14ac:dyDescent="0.25">
      <c r="A43" s="431">
        <v>5</v>
      </c>
      <c r="B43" s="431">
        <v>0</v>
      </c>
      <c r="C43" s="432" t="s">
        <v>2026</v>
      </c>
      <c r="D43" s="433" t="s">
        <v>51</v>
      </c>
      <c r="E43" s="434"/>
      <c r="F43" s="435"/>
      <c r="G43" s="436">
        <v>-137500000</v>
      </c>
      <c r="H43" s="436">
        <f t="shared" si="0"/>
        <v>137500</v>
      </c>
      <c r="I43" s="437"/>
      <c r="J43" s="437"/>
      <c r="K43" s="437"/>
      <c r="L43" s="437"/>
      <c r="M43" s="437"/>
      <c r="N43" s="437"/>
      <c r="O43" s="437"/>
      <c r="P43" s="437"/>
      <c r="Q43" s="437"/>
      <c r="R43" s="437"/>
      <c r="S43" s="437"/>
    </row>
    <row r="44" spans="1:19" ht="12.75" customHeight="1" x14ac:dyDescent="0.25">
      <c r="A44" s="431">
        <v>5</v>
      </c>
      <c r="B44" s="431">
        <v>0</v>
      </c>
      <c r="C44" s="432" t="s">
        <v>2027</v>
      </c>
      <c r="D44" s="433" t="s">
        <v>52</v>
      </c>
      <c r="E44" s="434"/>
      <c r="F44" s="435"/>
      <c r="G44" s="436">
        <v>-25850000</v>
      </c>
      <c r="H44" s="436">
        <f t="shared" si="0"/>
        <v>25850</v>
      </c>
      <c r="I44" s="437"/>
      <c r="J44" s="437"/>
      <c r="K44" s="437"/>
      <c r="L44" s="437"/>
      <c r="M44" s="437"/>
      <c r="N44" s="437"/>
      <c r="O44" s="437"/>
      <c r="P44" s="437"/>
      <c r="Q44" s="437"/>
      <c r="R44" s="437"/>
      <c r="S44" s="437"/>
    </row>
    <row r="45" spans="1:19" ht="12.75" customHeight="1" x14ac:dyDescent="0.25">
      <c r="A45" s="431">
        <v>5</v>
      </c>
      <c r="B45" s="431">
        <v>0</v>
      </c>
      <c r="C45" s="432" t="s">
        <v>2028</v>
      </c>
      <c r="D45" s="433" t="s">
        <v>53</v>
      </c>
      <c r="E45" s="434"/>
      <c r="F45" s="435"/>
      <c r="G45" s="436">
        <v>-40631000</v>
      </c>
      <c r="H45" s="436">
        <f t="shared" si="0"/>
        <v>40631</v>
      </c>
      <c r="I45" s="437"/>
      <c r="J45" s="437"/>
      <c r="K45" s="437"/>
      <c r="L45" s="437"/>
      <c r="M45" s="437"/>
      <c r="N45" s="437"/>
      <c r="O45" s="437"/>
      <c r="P45" s="437"/>
      <c r="Q45" s="437"/>
      <c r="R45" s="437"/>
      <c r="S45" s="437"/>
    </row>
    <row r="46" spans="1:19" ht="12.75" customHeight="1" x14ac:dyDescent="0.25">
      <c r="A46" s="431">
        <v>5</v>
      </c>
      <c r="B46" s="431">
        <v>0</v>
      </c>
      <c r="C46" s="432" t="s">
        <v>2029</v>
      </c>
      <c r="D46" s="433" t="s">
        <v>54</v>
      </c>
      <c r="E46" s="434"/>
      <c r="F46" s="435"/>
      <c r="G46" s="436">
        <v>-7999999.9999999898</v>
      </c>
      <c r="H46" s="436">
        <f t="shared" si="0"/>
        <v>7999.99999999999</v>
      </c>
      <c r="I46" s="437"/>
      <c r="J46" s="437"/>
      <c r="K46" s="437"/>
      <c r="L46" s="437"/>
      <c r="M46" s="437"/>
      <c r="N46" s="437"/>
      <c r="O46" s="437"/>
      <c r="P46" s="437"/>
      <c r="Q46" s="437"/>
      <c r="R46" s="437"/>
      <c r="S46" s="437"/>
    </row>
    <row r="47" spans="1:19" ht="12.75" customHeight="1" x14ac:dyDescent="0.25">
      <c r="A47" s="431">
        <v>5</v>
      </c>
      <c r="B47" s="431">
        <v>0</v>
      </c>
      <c r="C47" s="432" t="s">
        <v>2030</v>
      </c>
      <c r="D47" s="433" t="s">
        <v>55</v>
      </c>
      <c r="E47" s="434"/>
      <c r="F47" s="435"/>
      <c r="G47" s="436">
        <v>-25000000</v>
      </c>
      <c r="H47" s="436">
        <f t="shared" si="0"/>
        <v>25000</v>
      </c>
      <c r="I47" s="437"/>
      <c r="J47" s="437"/>
      <c r="K47" s="437"/>
      <c r="L47" s="437"/>
      <c r="M47" s="437"/>
      <c r="N47" s="437"/>
      <c r="O47" s="437"/>
      <c r="P47" s="437"/>
      <c r="Q47" s="437"/>
      <c r="R47" s="437"/>
      <c r="S47" s="437"/>
    </row>
    <row r="48" spans="1:19" ht="12.75" customHeight="1" x14ac:dyDescent="0.25">
      <c r="A48" s="431">
        <v>5</v>
      </c>
      <c r="B48" s="431">
        <v>0</v>
      </c>
      <c r="C48" s="432" t="s">
        <v>2031</v>
      </c>
      <c r="D48" s="433" t="s">
        <v>56</v>
      </c>
      <c r="E48" s="434"/>
      <c r="F48" s="435"/>
      <c r="G48" s="436">
        <v>-800000</v>
      </c>
      <c r="H48" s="436">
        <f t="shared" si="0"/>
        <v>800</v>
      </c>
      <c r="I48" s="437"/>
      <c r="J48" s="437"/>
      <c r="K48" s="437"/>
      <c r="L48" s="437"/>
      <c r="M48" s="437"/>
      <c r="N48" s="437"/>
      <c r="O48" s="437"/>
      <c r="P48" s="437"/>
      <c r="Q48" s="437"/>
      <c r="R48" s="437"/>
      <c r="S48" s="437"/>
    </row>
    <row r="49" spans="1:19" ht="12.75" customHeight="1" x14ac:dyDescent="0.25">
      <c r="A49" s="431">
        <v>5</v>
      </c>
      <c r="B49" s="431">
        <v>0</v>
      </c>
      <c r="C49" s="432" t="s">
        <v>2032</v>
      </c>
      <c r="D49" s="433" t="s">
        <v>57</v>
      </c>
      <c r="E49" s="434"/>
      <c r="F49" s="435"/>
      <c r="G49" s="436">
        <v>-100000</v>
      </c>
      <c r="H49" s="436">
        <f t="shared" si="0"/>
        <v>100</v>
      </c>
      <c r="I49" s="437"/>
      <c r="J49" s="437"/>
      <c r="K49" s="437"/>
      <c r="L49" s="437"/>
      <c r="M49" s="437"/>
      <c r="N49" s="437"/>
      <c r="O49" s="437"/>
      <c r="P49" s="437"/>
      <c r="Q49" s="437"/>
      <c r="R49" s="437"/>
      <c r="S49" s="437"/>
    </row>
    <row r="50" spans="1:19" ht="12.75" customHeight="1" x14ac:dyDescent="0.25">
      <c r="A50" s="431">
        <v>5</v>
      </c>
      <c r="B50" s="431">
        <v>0</v>
      </c>
      <c r="C50" s="432" t="s">
        <v>2033</v>
      </c>
      <c r="D50" s="433" t="s">
        <v>58</v>
      </c>
      <c r="E50" s="434"/>
      <c r="F50" s="435"/>
      <c r="G50" s="436">
        <v>-38667000</v>
      </c>
      <c r="H50" s="436">
        <f t="shared" si="0"/>
        <v>38667</v>
      </c>
      <c r="I50" s="437"/>
      <c r="J50" s="437"/>
      <c r="K50" s="437"/>
      <c r="L50" s="437"/>
      <c r="M50" s="437"/>
      <c r="N50" s="437"/>
      <c r="O50" s="437"/>
      <c r="P50" s="437"/>
      <c r="Q50" s="437"/>
      <c r="R50" s="437"/>
      <c r="S50" s="437"/>
    </row>
    <row r="51" spans="1:19" ht="12.75" customHeight="1" x14ac:dyDescent="0.25">
      <c r="A51" s="431">
        <v>5</v>
      </c>
      <c r="B51" s="431">
        <v>0</v>
      </c>
      <c r="C51" s="432" t="s">
        <v>2034</v>
      </c>
      <c r="D51" s="433" t="s">
        <v>59</v>
      </c>
      <c r="E51" s="434"/>
      <c r="F51" s="435"/>
      <c r="G51" s="436">
        <v>-24954000</v>
      </c>
      <c r="H51" s="436">
        <f t="shared" si="0"/>
        <v>24954</v>
      </c>
      <c r="I51" s="437"/>
      <c r="J51" s="437"/>
      <c r="K51" s="437"/>
      <c r="L51" s="437"/>
      <c r="M51" s="437"/>
      <c r="N51" s="437"/>
      <c r="O51" s="437"/>
      <c r="P51" s="437"/>
      <c r="Q51" s="437"/>
      <c r="R51" s="437"/>
      <c r="S51" s="437"/>
    </row>
    <row r="52" spans="1:19" ht="12.75" customHeight="1" x14ac:dyDescent="0.25">
      <c r="A52" s="431">
        <v>5</v>
      </c>
      <c r="B52" s="431">
        <v>0</v>
      </c>
      <c r="C52" s="432" t="s">
        <v>2035</v>
      </c>
      <c r="D52" s="433" t="s">
        <v>60</v>
      </c>
      <c r="E52" s="434"/>
      <c r="F52" s="435"/>
      <c r="G52" s="436">
        <v>-2200000</v>
      </c>
      <c r="H52" s="436">
        <f t="shared" si="0"/>
        <v>2200</v>
      </c>
      <c r="I52" s="437"/>
      <c r="J52" s="437"/>
      <c r="K52" s="437"/>
      <c r="L52" s="437"/>
      <c r="M52" s="437"/>
      <c r="N52" s="437"/>
      <c r="O52" s="437"/>
      <c r="P52" s="437"/>
      <c r="Q52" s="437"/>
      <c r="R52" s="437"/>
      <c r="S52" s="437"/>
    </row>
    <row r="53" spans="1:19" ht="12.75" customHeight="1" x14ac:dyDescent="0.25">
      <c r="A53" s="431">
        <v>5</v>
      </c>
      <c r="B53" s="431">
        <v>0</v>
      </c>
      <c r="C53" s="432" t="s">
        <v>2036</v>
      </c>
      <c r="D53" s="433" t="s">
        <v>61</v>
      </c>
      <c r="E53" s="434"/>
      <c r="F53" s="435"/>
      <c r="G53" s="436">
        <v>-15000000</v>
      </c>
      <c r="H53" s="436">
        <f t="shared" si="0"/>
        <v>15000</v>
      </c>
      <c r="I53" s="437"/>
      <c r="J53" s="437"/>
      <c r="K53" s="437"/>
      <c r="L53" s="437"/>
      <c r="M53" s="437"/>
      <c r="N53" s="437"/>
      <c r="O53" s="437"/>
      <c r="P53" s="437"/>
      <c r="Q53" s="437"/>
      <c r="R53" s="437"/>
      <c r="S53" s="437"/>
    </row>
    <row r="54" spans="1:19" ht="12.75" customHeight="1" x14ac:dyDescent="0.25">
      <c r="A54" s="431">
        <v>5</v>
      </c>
      <c r="B54" s="431">
        <v>0</v>
      </c>
      <c r="C54" s="432" t="s">
        <v>2037</v>
      </c>
      <c r="D54" s="433" t="s">
        <v>62</v>
      </c>
      <c r="E54" s="434"/>
      <c r="F54" s="435"/>
      <c r="G54" s="436">
        <v>-2160000</v>
      </c>
      <c r="H54" s="436">
        <f t="shared" si="0"/>
        <v>2160</v>
      </c>
      <c r="I54" s="437"/>
      <c r="J54" s="437"/>
      <c r="K54" s="437"/>
      <c r="L54" s="437"/>
      <c r="M54" s="437"/>
      <c r="N54" s="437"/>
      <c r="O54" s="437"/>
      <c r="P54" s="437"/>
      <c r="Q54" s="437"/>
      <c r="R54" s="437"/>
      <c r="S54" s="437"/>
    </row>
    <row r="55" spans="1:19" ht="12.75" customHeight="1" x14ac:dyDescent="0.25">
      <c r="A55" s="431">
        <v>5</v>
      </c>
      <c r="B55" s="431">
        <v>0</v>
      </c>
      <c r="C55" s="432" t="s">
        <v>2038</v>
      </c>
      <c r="D55" s="433" t="s">
        <v>63</v>
      </c>
      <c r="E55" s="434"/>
      <c r="F55" s="435"/>
      <c r="G55" s="436">
        <v>-194610000</v>
      </c>
      <c r="H55" s="436">
        <f t="shared" si="0"/>
        <v>194610</v>
      </c>
      <c r="I55" s="437"/>
      <c r="J55" s="437"/>
      <c r="K55" s="437"/>
      <c r="L55" s="437"/>
      <c r="M55" s="437"/>
      <c r="N55" s="437"/>
      <c r="O55" s="437"/>
      <c r="P55" s="437"/>
      <c r="Q55" s="437"/>
      <c r="R55" s="437"/>
      <c r="S55" s="437"/>
    </row>
    <row r="56" spans="1:19" ht="12.75" customHeight="1" x14ac:dyDescent="0.25">
      <c r="A56" s="431">
        <v>5</v>
      </c>
      <c r="B56" s="431">
        <v>0</v>
      </c>
      <c r="C56" s="432" t="s">
        <v>2039</v>
      </c>
      <c r="D56" s="433" t="s">
        <v>64</v>
      </c>
      <c r="E56" s="434"/>
      <c r="F56" s="435"/>
      <c r="G56" s="436">
        <v>-1120000</v>
      </c>
      <c r="H56" s="436">
        <f t="shared" si="0"/>
        <v>1120</v>
      </c>
      <c r="I56" s="437"/>
      <c r="J56" s="437"/>
      <c r="K56" s="437"/>
      <c r="L56" s="437"/>
      <c r="M56" s="437"/>
      <c r="N56" s="437"/>
      <c r="O56" s="437"/>
      <c r="P56" s="437"/>
      <c r="Q56" s="437"/>
      <c r="R56" s="437"/>
      <c r="S56" s="437"/>
    </row>
    <row r="57" spans="1:19" ht="12.75" customHeight="1" x14ac:dyDescent="0.25">
      <c r="A57" s="431">
        <v>5</v>
      </c>
      <c r="B57" s="431">
        <v>0</v>
      </c>
      <c r="C57" s="432" t="s">
        <v>2040</v>
      </c>
      <c r="D57" s="433" t="s">
        <v>65</v>
      </c>
      <c r="E57" s="434"/>
      <c r="F57" s="435"/>
      <c r="G57" s="436">
        <v>-5992000</v>
      </c>
      <c r="H57" s="436">
        <f t="shared" si="0"/>
        <v>5992</v>
      </c>
      <c r="I57" s="437"/>
      <c r="J57" s="437"/>
      <c r="K57" s="437"/>
      <c r="L57" s="437"/>
      <c r="M57" s="437"/>
      <c r="N57" s="437"/>
      <c r="O57" s="437"/>
      <c r="P57" s="437"/>
      <c r="Q57" s="437"/>
      <c r="R57" s="437"/>
      <c r="S57" s="437"/>
    </row>
    <row r="58" spans="1:19" ht="12.75" customHeight="1" x14ac:dyDescent="0.25">
      <c r="A58" s="431">
        <v>5</v>
      </c>
      <c r="B58" s="431">
        <v>0</v>
      </c>
      <c r="C58" s="432" t="s">
        <v>2041</v>
      </c>
      <c r="D58" s="433" t="s">
        <v>66</v>
      </c>
      <c r="E58" s="434"/>
      <c r="F58" s="435"/>
      <c r="G58" s="436">
        <v>-22772000</v>
      </c>
      <c r="H58" s="436">
        <f t="shared" si="0"/>
        <v>22772</v>
      </c>
      <c r="I58" s="437"/>
      <c r="J58" s="437"/>
      <c r="K58" s="437"/>
      <c r="L58" s="437"/>
      <c r="M58" s="437"/>
      <c r="N58" s="437"/>
      <c r="O58" s="437"/>
      <c r="P58" s="437"/>
      <c r="Q58" s="437"/>
      <c r="R58" s="437"/>
      <c r="S58" s="437"/>
    </row>
    <row r="59" spans="1:19" ht="12.75" customHeight="1" x14ac:dyDescent="0.25">
      <c r="A59" s="431">
        <v>5</v>
      </c>
      <c r="B59" s="431">
        <v>0</v>
      </c>
      <c r="C59" s="432" t="s">
        <v>2042</v>
      </c>
      <c r="D59" s="433" t="s">
        <v>67</v>
      </c>
      <c r="E59" s="434"/>
      <c r="F59" s="435"/>
      <c r="G59" s="436">
        <v>-173045000</v>
      </c>
      <c r="H59" s="436">
        <f t="shared" si="0"/>
        <v>173045</v>
      </c>
      <c r="I59" s="437"/>
      <c r="J59" s="437"/>
      <c r="K59" s="437"/>
      <c r="L59" s="437"/>
      <c r="M59" s="437"/>
      <c r="N59" s="437"/>
      <c r="O59" s="437"/>
      <c r="P59" s="437"/>
      <c r="Q59" s="437"/>
      <c r="R59" s="437"/>
      <c r="S59" s="437"/>
    </row>
    <row r="60" spans="1:19" ht="12.75" customHeight="1" x14ac:dyDescent="0.25">
      <c r="A60" s="431">
        <v>5</v>
      </c>
      <c r="B60" s="431">
        <v>0</v>
      </c>
      <c r="C60" s="432" t="s">
        <v>2043</v>
      </c>
      <c r="D60" s="433" t="s">
        <v>68</v>
      </c>
      <c r="E60" s="434"/>
      <c r="F60" s="435"/>
      <c r="G60" s="436">
        <v>-22621000</v>
      </c>
      <c r="H60" s="436">
        <f t="shared" si="0"/>
        <v>22621</v>
      </c>
      <c r="I60" s="437"/>
      <c r="J60" s="437"/>
      <c r="K60" s="437"/>
      <c r="L60" s="437"/>
      <c r="M60" s="437"/>
      <c r="N60" s="437"/>
      <c r="O60" s="437"/>
      <c r="P60" s="437"/>
      <c r="Q60" s="437"/>
      <c r="R60" s="437"/>
      <c r="S60" s="437"/>
    </row>
    <row r="61" spans="1:19" ht="12.75" customHeight="1" x14ac:dyDescent="0.25">
      <c r="A61" s="431">
        <v>5</v>
      </c>
      <c r="B61" s="431">
        <v>0</v>
      </c>
      <c r="C61" s="432" t="s">
        <v>2044</v>
      </c>
      <c r="D61" s="433" t="s">
        <v>69</v>
      </c>
      <c r="E61" s="434"/>
      <c r="F61" s="435"/>
      <c r="G61" s="436">
        <v>-8767000</v>
      </c>
      <c r="H61" s="436">
        <f t="shared" si="0"/>
        <v>8767</v>
      </c>
      <c r="I61" s="437"/>
      <c r="J61" s="437"/>
      <c r="K61" s="437"/>
      <c r="L61" s="437"/>
      <c r="M61" s="437"/>
      <c r="N61" s="437"/>
      <c r="O61" s="437"/>
      <c r="P61" s="437"/>
      <c r="Q61" s="437"/>
      <c r="R61" s="437"/>
      <c r="S61" s="437"/>
    </row>
    <row r="62" spans="1:19" ht="12.75" customHeight="1" x14ac:dyDescent="0.25">
      <c r="A62" s="431">
        <v>5</v>
      </c>
      <c r="B62" s="431">
        <v>0</v>
      </c>
      <c r="C62" s="432" t="s">
        <v>2045</v>
      </c>
      <c r="D62" s="433" t="s">
        <v>70</v>
      </c>
      <c r="E62" s="434"/>
      <c r="F62" s="435"/>
      <c r="G62" s="436">
        <v>-48839000</v>
      </c>
      <c r="H62" s="436">
        <f t="shared" si="0"/>
        <v>48839</v>
      </c>
      <c r="I62" s="437"/>
      <c r="J62" s="437"/>
      <c r="K62" s="437"/>
      <c r="L62" s="437"/>
      <c r="M62" s="437"/>
      <c r="N62" s="437"/>
      <c r="O62" s="437"/>
      <c r="P62" s="437"/>
      <c r="Q62" s="437"/>
      <c r="R62" s="437"/>
      <c r="S62" s="437"/>
    </row>
    <row r="63" spans="1:19" ht="12.75" customHeight="1" x14ac:dyDescent="0.25">
      <c r="A63" s="431">
        <v>5</v>
      </c>
      <c r="B63" s="431">
        <v>0</v>
      </c>
      <c r="C63" s="432" t="s">
        <v>2046</v>
      </c>
      <c r="D63" s="433" t="s">
        <v>71</v>
      </c>
      <c r="E63" s="434"/>
      <c r="F63" s="435"/>
      <c r="G63" s="436">
        <v>-11048000</v>
      </c>
      <c r="H63" s="436">
        <f t="shared" si="0"/>
        <v>11048</v>
      </c>
      <c r="I63" s="437"/>
      <c r="J63" s="437"/>
      <c r="K63" s="437"/>
      <c r="L63" s="437"/>
      <c r="M63" s="437"/>
      <c r="N63" s="437"/>
      <c r="O63" s="437"/>
      <c r="P63" s="437"/>
      <c r="Q63" s="437"/>
      <c r="R63" s="437"/>
      <c r="S63" s="437"/>
    </row>
    <row r="64" spans="1:19" ht="12.75" customHeight="1" x14ac:dyDescent="0.25">
      <c r="A64" s="431">
        <v>5</v>
      </c>
      <c r="B64" s="431">
        <v>0</v>
      </c>
      <c r="C64" s="432" t="s">
        <v>2047</v>
      </c>
      <c r="D64" s="433" t="s">
        <v>72</v>
      </c>
      <c r="E64" s="434"/>
      <c r="F64" s="435"/>
      <c r="G64" s="436">
        <v>-5807000</v>
      </c>
      <c r="H64" s="436">
        <f t="shared" si="0"/>
        <v>5807</v>
      </c>
      <c r="I64" s="437"/>
      <c r="J64" s="437"/>
      <c r="K64" s="437"/>
      <c r="L64" s="437"/>
      <c r="M64" s="437"/>
      <c r="N64" s="437"/>
      <c r="O64" s="437"/>
      <c r="P64" s="437"/>
      <c r="Q64" s="437"/>
      <c r="R64" s="437"/>
      <c r="S64" s="437"/>
    </row>
    <row r="65" spans="1:19" ht="12.75" customHeight="1" x14ac:dyDescent="0.25">
      <c r="A65" s="431">
        <v>5</v>
      </c>
      <c r="B65" s="431">
        <v>0</v>
      </c>
      <c r="C65" s="432" t="s">
        <v>2048</v>
      </c>
      <c r="D65" s="433" t="s">
        <v>73</v>
      </c>
      <c r="E65" s="434"/>
      <c r="F65" s="435"/>
      <c r="G65" s="436">
        <v>-410000</v>
      </c>
      <c r="H65" s="436">
        <f t="shared" si="0"/>
        <v>410</v>
      </c>
      <c r="I65" s="437"/>
      <c r="J65" s="437"/>
      <c r="K65" s="437"/>
      <c r="L65" s="437"/>
      <c r="M65" s="437"/>
      <c r="N65" s="437"/>
      <c r="O65" s="437"/>
      <c r="P65" s="437"/>
      <c r="Q65" s="437"/>
      <c r="R65" s="437"/>
      <c r="S65" s="437"/>
    </row>
    <row r="66" spans="1:19" ht="12.75" customHeight="1" x14ac:dyDescent="0.25">
      <c r="A66" s="431">
        <v>5</v>
      </c>
      <c r="B66" s="431">
        <v>0</v>
      </c>
      <c r="C66" s="432" t="s">
        <v>2049</v>
      </c>
      <c r="D66" s="433" t="s">
        <v>74</v>
      </c>
      <c r="E66" s="434"/>
      <c r="F66" s="435"/>
      <c r="G66" s="436">
        <v>-8048000</v>
      </c>
      <c r="H66" s="436">
        <f t="shared" si="0"/>
        <v>8048</v>
      </c>
      <c r="I66" s="437"/>
      <c r="J66" s="437"/>
      <c r="K66" s="437"/>
      <c r="L66" s="437"/>
      <c r="M66" s="437"/>
      <c r="N66" s="437"/>
      <c r="O66" s="437"/>
      <c r="P66" s="437"/>
      <c r="Q66" s="437"/>
      <c r="R66" s="437"/>
      <c r="S66" s="437"/>
    </row>
    <row r="67" spans="1:19" ht="12.75" customHeight="1" x14ac:dyDescent="0.25">
      <c r="A67" s="431">
        <v>5</v>
      </c>
      <c r="B67" s="431">
        <v>0</v>
      </c>
      <c r="C67" s="432" t="s">
        <v>2050</v>
      </c>
      <c r="D67" s="433" t="s">
        <v>75</v>
      </c>
      <c r="E67" s="434"/>
      <c r="F67" s="435"/>
      <c r="G67" s="436">
        <v>-402000</v>
      </c>
      <c r="H67" s="436">
        <f t="shared" si="0"/>
        <v>402</v>
      </c>
      <c r="I67" s="437"/>
      <c r="J67" s="437"/>
      <c r="K67" s="437"/>
      <c r="L67" s="437"/>
      <c r="M67" s="437"/>
      <c r="N67" s="437"/>
      <c r="O67" s="437"/>
      <c r="P67" s="437"/>
      <c r="Q67" s="437"/>
      <c r="R67" s="437"/>
      <c r="S67" s="437"/>
    </row>
    <row r="68" spans="1:19" ht="12.75" customHeight="1" x14ac:dyDescent="0.25">
      <c r="A68" s="431">
        <v>5</v>
      </c>
      <c r="B68" s="431">
        <v>0</v>
      </c>
      <c r="C68" s="432" t="s">
        <v>2051</v>
      </c>
      <c r="D68" s="433" t="s">
        <v>76</v>
      </c>
      <c r="E68" s="434"/>
      <c r="F68" s="435"/>
      <c r="G68" s="436">
        <v>-1625000</v>
      </c>
      <c r="H68" s="436">
        <f t="shared" si="0"/>
        <v>1625</v>
      </c>
      <c r="I68" s="437"/>
      <c r="J68" s="437"/>
      <c r="K68" s="437"/>
      <c r="L68" s="437"/>
      <c r="M68" s="437"/>
      <c r="N68" s="437"/>
      <c r="O68" s="437"/>
      <c r="P68" s="437"/>
      <c r="Q68" s="437"/>
      <c r="R68" s="437"/>
      <c r="S68" s="437"/>
    </row>
    <row r="69" spans="1:19" ht="12.75" customHeight="1" x14ac:dyDescent="0.25">
      <c r="A69" s="431">
        <v>5</v>
      </c>
      <c r="B69" s="431">
        <v>0</v>
      </c>
      <c r="C69" s="432" t="s">
        <v>2052</v>
      </c>
      <c r="D69" s="433" t="s">
        <v>77</v>
      </c>
      <c r="E69" s="434"/>
      <c r="F69" s="435"/>
      <c r="G69" s="436">
        <v>-26363000</v>
      </c>
      <c r="H69" s="436">
        <f t="shared" si="0"/>
        <v>26363</v>
      </c>
      <c r="I69" s="437"/>
      <c r="J69" s="437"/>
      <c r="K69" s="437"/>
      <c r="L69" s="437"/>
      <c r="M69" s="437"/>
      <c r="N69" s="437"/>
      <c r="O69" s="437"/>
      <c r="P69" s="437"/>
      <c r="Q69" s="437"/>
      <c r="R69" s="437"/>
      <c r="S69" s="437"/>
    </row>
    <row r="70" spans="1:19" ht="12.75" customHeight="1" x14ac:dyDescent="0.25">
      <c r="A70" s="431">
        <v>5</v>
      </c>
      <c r="B70" s="431">
        <v>0</v>
      </c>
      <c r="C70" s="432" t="s">
        <v>2053</v>
      </c>
      <c r="D70" s="433" t="s">
        <v>78</v>
      </c>
      <c r="E70" s="434"/>
      <c r="F70" s="435"/>
      <c r="G70" s="436">
        <v>-36222000</v>
      </c>
      <c r="H70" s="436">
        <f t="shared" si="0"/>
        <v>36222</v>
      </c>
      <c r="I70" s="437"/>
      <c r="J70" s="437"/>
      <c r="K70" s="437"/>
      <c r="L70" s="437"/>
      <c r="M70" s="437"/>
      <c r="N70" s="437"/>
      <c r="O70" s="437"/>
      <c r="P70" s="437"/>
      <c r="Q70" s="437"/>
      <c r="R70" s="437"/>
      <c r="S70" s="437"/>
    </row>
    <row r="71" spans="1:19" ht="12.75" customHeight="1" x14ac:dyDescent="0.25">
      <c r="A71" s="431">
        <v>5</v>
      </c>
      <c r="B71" s="431">
        <v>0</v>
      </c>
      <c r="C71" s="432" t="s">
        <v>2054</v>
      </c>
      <c r="D71" s="433" t="s">
        <v>79</v>
      </c>
      <c r="E71" s="434"/>
      <c r="F71" s="435"/>
      <c r="G71" s="436">
        <v>-7600000</v>
      </c>
      <c r="H71" s="436">
        <f t="shared" si="0"/>
        <v>7600</v>
      </c>
      <c r="I71" s="437"/>
      <c r="J71" s="437"/>
      <c r="K71" s="437"/>
      <c r="L71" s="437"/>
      <c r="M71" s="437"/>
      <c r="N71" s="437"/>
      <c r="O71" s="437"/>
      <c r="P71" s="437"/>
      <c r="Q71" s="437"/>
      <c r="R71" s="437"/>
      <c r="S71" s="437"/>
    </row>
    <row r="72" spans="1:19" ht="12.75" customHeight="1" x14ac:dyDescent="0.25">
      <c r="A72" s="431">
        <v>5</v>
      </c>
      <c r="B72" s="431">
        <v>0</v>
      </c>
      <c r="C72" s="432" t="s">
        <v>2055</v>
      </c>
      <c r="D72" s="433" t="s">
        <v>80</v>
      </c>
      <c r="E72" s="434"/>
      <c r="F72" s="435"/>
      <c r="G72" s="436">
        <v>-13745000</v>
      </c>
      <c r="H72" s="436">
        <f t="shared" si="0"/>
        <v>13745</v>
      </c>
      <c r="I72" s="437"/>
      <c r="J72" s="437"/>
      <c r="K72" s="437"/>
      <c r="L72" s="437"/>
      <c r="M72" s="437"/>
      <c r="N72" s="437"/>
      <c r="O72" s="437"/>
      <c r="P72" s="437"/>
      <c r="Q72" s="437"/>
      <c r="R72" s="437"/>
      <c r="S72" s="437"/>
    </row>
    <row r="73" spans="1:19" ht="12.75" customHeight="1" x14ac:dyDescent="0.25">
      <c r="A73" s="431">
        <v>5</v>
      </c>
      <c r="B73" s="431">
        <v>0</v>
      </c>
      <c r="C73" s="432" t="s">
        <v>2056</v>
      </c>
      <c r="D73" s="433" t="s">
        <v>81</v>
      </c>
      <c r="E73" s="434"/>
      <c r="F73" s="435"/>
      <c r="G73" s="436">
        <v>-4438000</v>
      </c>
      <c r="H73" s="436">
        <f t="shared" si="0"/>
        <v>4438</v>
      </c>
      <c r="I73" s="437"/>
      <c r="J73" s="437"/>
      <c r="K73" s="437"/>
      <c r="L73" s="437"/>
      <c r="M73" s="437"/>
      <c r="N73" s="437"/>
      <c r="O73" s="437"/>
      <c r="P73" s="437"/>
      <c r="Q73" s="437"/>
      <c r="R73" s="437"/>
      <c r="S73" s="437"/>
    </row>
    <row r="74" spans="1:19" ht="12.75" customHeight="1" x14ac:dyDescent="0.25">
      <c r="A74" s="431">
        <v>5</v>
      </c>
      <c r="B74" s="431">
        <v>0</v>
      </c>
      <c r="C74" s="432" t="s">
        <v>2057</v>
      </c>
      <c r="D74" s="433" t="s">
        <v>82</v>
      </c>
      <c r="E74" s="434"/>
      <c r="F74" s="435"/>
      <c r="G74" s="436">
        <v>-27678000</v>
      </c>
      <c r="H74" s="436">
        <f t="shared" si="0"/>
        <v>27678</v>
      </c>
      <c r="I74" s="437"/>
      <c r="J74" s="437"/>
      <c r="K74" s="437"/>
      <c r="L74" s="437"/>
      <c r="M74" s="437"/>
      <c r="N74" s="437"/>
      <c r="O74" s="437"/>
      <c r="P74" s="437"/>
      <c r="Q74" s="437"/>
      <c r="R74" s="437"/>
      <c r="S74" s="437"/>
    </row>
    <row r="75" spans="1:19" ht="12.75" customHeight="1" x14ac:dyDescent="0.25">
      <c r="A75" s="431">
        <v>5</v>
      </c>
      <c r="B75" s="431">
        <v>0</v>
      </c>
      <c r="C75" s="432" t="s">
        <v>2058</v>
      </c>
      <c r="D75" s="433" t="s">
        <v>83</v>
      </c>
      <c r="E75" s="434"/>
      <c r="F75" s="435"/>
      <c r="G75" s="436">
        <v>-1155000</v>
      </c>
      <c r="H75" s="436">
        <f t="shared" si="0"/>
        <v>1155</v>
      </c>
      <c r="I75" s="437"/>
      <c r="J75" s="437"/>
      <c r="K75" s="437"/>
      <c r="L75" s="437"/>
      <c r="M75" s="437"/>
      <c r="N75" s="437"/>
      <c r="O75" s="437"/>
      <c r="P75" s="437"/>
      <c r="Q75" s="437"/>
      <c r="R75" s="437"/>
      <c r="S75" s="437"/>
    </row>
    <row r="76" spans="1:19" ht="12.75" customHeight="1" x14ac:dyDescent="0.25">
      <c r="A76" s="431">
        <v>5</v>
      </c>
      <c r="B76" s="431">
        <v>0</v>
      </c>
      <c r="C76" s="432" t="s">
        <v>2059</v>
      </c>
      <c r="D76" s="433" t="s">
        <v>84</v>
      </c>
      <c r="E76" s="434"/>
      <c r="F76" s="435"/>
      <c r="G76" s="436">
        <v>-22140000</v>
      </c>
      <c r="H76" s="436">
        <f t="shared" ref="H76:H139" si="1">+G76/1000*-1</f>
        <v>22140</v>
      </c>
      <c r="I76" s="437"/>
      <c r="J76" s="437"/>
      <c r="K76" s="437"/>
      <c r="L76" s="437"/>
      <c r="M76" s="437"/>
      <c r="N76" s="437"/>
      <c r="O76" s="437"/>
      <c r="P76" s="437"/>
      <c r="Q76" s="437"/>
      <c r="R76" s="437"/>
      <c r="S76" s="437"/>
    </row>
    <row r="77" spans="1:19" ht="12.75" customHeight="1" x14ac:dyDescent="0.25">
      <c r="A77" s="431">
        <v>5</v>
      </c>
      <c r="B77" s="431">
        <v>0</v>
      </c>
      <c r="C77" s="432" t="s">
        <v>2060</v>
      </c>
      <c r="D77" s="433" t="s">
        <v>85</v>
      </c>
      <c r="E77" s="434"/>
      <c r="F77" s="435"/>
      <c r="G77" s="436">
        <v>-5913000</v>
      </c>
      <c r="H77" s="436">
        <f t="shared" si="1"/>
        <v>5913</v>
      </c>
      <c r="I77" s="437"/>
      <c r="J77" s="437"/>
      <c r="K77" s="437"/>
      <c r="L77" s="437"/>
      <c r="M77" s="437"/>
      <c r="N77" s="437"/>
      <c r="O77" s="437"/>
      <c r="P77" s="437"/>
      <c r="Q77" s="437"/>
      <c r="R77" s="437"/>
      <c r="S77" s="437"/>
    </row>
    <row r="78" spans="1:19" ht="12.75" customHeight="1" x14ac:dyDescent="0.25">
      <c r="A78" s="431">
        <v>5</v>
      </c>
      <c r="B78" s="431">
        <v>0</v>
      </c>
      <c r="C78" s="432" t="s">
        <v>2061</v>
      </c>
      <c r="D78" s="433" t="s">
        <v>86</v>
      </c>
      <c r="E78" s="434"/>
      <c r="F78" s="435"/>
      <c r="G78" s="436">
        <v>-23052000</v>
      </c>
      <c r="H78" s="436">
        <f t="shared" si="1"/>
        <v>23052</v>
      </c>
      <c r="I78" s="437"/>
      <c r="J78" s="437"/>
      <c r="K78" s="437"/>
      <c r="L78" s="437"/>
      <c r="M78" s="437"/>
      <c r="N78" s="437"/>
      <c r="O78" s="437"/>
      <c r="P78" s="437"/>
      <c r="Q78" s="437"/>
      <c r="R78" s="437"/>
      <c r="S78" s="437"/>
    </row>
    <row r="79" spans="1:19" ht="12.75" customHeight="1" x14ac:dyDescent="0.25">
      <c r="A79" s="431">
        <v>5</v>
      </c>
      <c r="B79" s="431">
        <v>0</v>
      </c>
      <c r="C79" s="432" t="s">
        <v>2062</v>
      </c>
      <c r="D79" s="433" t="s">
        <v>87</v>
      </c>
      <c r="E79" s="434"/>
      <c r="F79" s="435"/>
      <c r="G79" s="436">
        <v>-4330000</v>
      </c>
      <c r="H79" s="436">
        <f t="shared" si="1"/>
        <v>4330</v>
      </c>
      <c r="I79" s="437"/>
      <c r="J79" s="437"/>
      <c r="K79" s="437"/>
      <c r="L79" s="437"/>
      <c r="M79" s="437"/>
      <c r="N79" s="437"/>
      <c r="O79" s="437"/>
      <c r="P79" s="437"/>
      <c r="Q79" s="437"/>
      <c r="R79" s="437"/>
      <c r="S79" s="437"/>
    </row>
    <row r="80" spans="1:19" ht="12.75" customHeight="1" x14ac:dyDescent="0.25">
      <c r="A80" s="431">
        <v>5</v>
      </c>
      <c r="B80" s="431">
        <v>0</v>
      </c>
      <c r="C80" s="432" t="s">
        <v>2063</v>
      </c>
      <c r="D80" s="433" t="s">
        <v>88</v>
      </c>
      <c r="E80" s="434"/>
      <c r="F80" s="435"/>
      <c r="G80" s="436">
        <v>-3270000</v>
      </c>
      <c r="H80" s="436">
        <f t="shared" si="1"/>
        <v>3270</v>
      </c>
      <c r="I80" s="437"/>
      <c r="J80" s="437"/>
      <c r="K80" s="437"/>
      <c r="L80" s="437"/>
      <c r="M80" s="437"/>
      <c r="N80" s="437"/>
      <c r="O80" s="437"/>
      <c r="P80" s="437"/>
      <c r="Q80" s="437"/>
      <c r="R80" s="437"/>
      <c r="S80" s="437"/>
    </row>
    <row r="81" spans="1:19" ht="12.75" customHeight="1" x14ac:dyDescent="0.25">
      <c r="A81" s="431">
        <v>5</v>
      </c>
      <c r="B81" s="431">
        <v>0</v>
      </c>
      <c r="C81" s="432" t="s">
        <v>2064</v>
      </c>
      <c r="D81" s="433" t="s">
        <v>89</v>
      </c>
      <c r="E81" s="434"/>
      <c r="F81" s="435"/>
      <c r="G81" s="436">
        <v>-220000</v>
      </c>
      <c r="H81" s="436">
        <f t="shared" si="1"/>
        <v>220</v>
      </c>
      <c r="I81" s="437"/>
      <c r="J81" s="437"/>
      <c r="K81" s="437"/>
      <c r="L81" s="437"/>
      <c r="M81" s="437"/>
      <c r="N81" s="437"/>
      <c r="O81" s="437"/>
      <c r="P81" s="437"/>
      <c r="Q81" s="437"/>
      <c r="R81" s="437"/>
      <c r="S81" s="437"/>
    </row>
    <row r="82" spans="1:19" ht="12.75" customHeight="1" x14ac:dyDescent="0.25">
      <c r="A82" s="431">
        <v>5</v>
      </c>
      <c r="B82" s="431">
        <v>0</v>
      </c>
      <c r="C82" s="432" t="s">
        <v>2065</v>
      </c>
      <c r="D82" s="433" t="s">
        <v>90</v>
      </c>
      <c r="E82" s="434"/>
      <c r="F82" s="435"/>
      <c r="G82" s="436">
        <v>-2130000</v>
      </c>
      <c r="H82" s="436">
        <f t="shared" si="1"/>
        <v>2130</v>
      </c>
      <c r="I82" s="437"/>
      <c r="J82" s="437"/>
      <c r="K82" s="437"/>
      <c r="L82" s="437"/>
      <c r="M82" s="437"/>
      <c r="N82" s="437"/>
      <c r="O82" s="437"/>
      <c r="P82" s="437"/>
      <c r="Q82" s="437"/>
      <c r="R82" s="437"/>
      <c r="S82" s="437"/>
    </row>
    <row r="83" spans="1:19" ht="12.75" customHeight="1" x14ac:dyDescent="0.25">
      <c r="A83" s="431">
        <v>5</v>
      </c>
      <c r="B83" s="431">
        <v>0</v>
      </c>
      <c r="C83" s="432" t="s">
        <v>2066</v>
      </c>
      <c r="D83" s="433" t="s">
        <v>91</v>
      </c>
      <c r="E83" s="434"/>
      <c r="F83" s="435"/>
      <c r="G83" s="436">
        <v>-4470000</v>
      </c>
      <c r="H83" s="436">
        <f t="shared" si="1"/>
        <v>4470</v>
      </c>
      <c r="I83" s="437"/>
      <c r="J83" s="437"/>
      <c r="K83" s="437"/>
      <c r="L83" s="437"/>
      <c r="M83" s="437"/>
      <c r="N83" s="437"/>
      <c r="O83" s="437"/>
      <c r="P83" s="437"/>
      <c r="Q83" s="437"/>
      <c r="R83" s="437"/>
      <c r="S83" s="437"/>
    </row>
    <row r="84" spans="1:19" ht="12.75" customHeight="1" x14ac:dyDescent="0.25">
      <c r="A84" s="431">
        <v>5</v>
      </c>
      <c r="B84" s="431">
        <v>0</v>
      </c>
      <c r="C84" s="432" t="s">
        <v>2067</v>
      </c>
      <c r="D84" s="433" t="s">
        <v>2068</v>
      </c>
      <c r="E84" s="434"/>
      <c r="F84" s="435"/>
      <c r="G84" s="436">
        <v>-5000</v>
      </c>
      <c r="H84" s="436">
        <f t="shared" si="1"/>
        <v>5</v>
      </c>
      <c r="I84" s="437"/>
      <c r="J84" s="437"/>
      <c r="K84" s="437"/>
      <c r="L84" s="437"/>
      <c r="M84" s="437"/>
      <c r="N84" s="437"/>
      <c r="O84" s="437"/>
      <c r="P84" s="437"/>
      <c r="Q84" s="437"/>
      <c r="R84" s="437"/>
      <c r="S84" s="437"/>
    </row>
    <row r="85" spans="1:19" ht="12.75" customHeight="1" x14ac:dyDescent="0.25">
      <c r="A85" s="431">
        <v>5</v>
      </c>
      <c r="B85" s="431">
        <v>0</v>
      </c>
      <c r="C85" s="432" t="s">
        <v>2069</v>
      </c>
      <c r="D85" s="433" t="s">
        <v>94</v>
      </c>
      <c r="E85" s="434"/>
      <c r="F85" s="435"/>
      <c r="G85" s="436">
        <v>-2555000</v>
      </c>
      <c r="H85" s="436">
        <f t="shared" si="1"/>
        <v>2555</v>
      </c>
      <c r="I85" s="437"/>
      <c r="J85" s="437"/>
      <c r="K85" s="437"/>
      <c r="L85" s="437"/>
      <c r="M85" s="437"/>
      <c r="N85" s="437"/>
      <c r="O85" s="437"/>
      <c r="P85" s="437"/>
      <c r="Q85" s="437"/>
      <c r="R85" s="437"/>
      <c r="S85" s="437"/>
    </row>
    <row r="86" spans="1:19" ht="12.75" customHeight="1" x14ac:dyDescent="0.25">
      <c r="A86" s="431">
        <v>4</v>
      </c>
      <c r="B86" s="431">
        <v>1</v>
      </c>
      <c r="C86" s="432" t="s">
        <v>2070</v>
      </c>
      <c r="D86" s="433" t="s">
        <v>96</v>
      </c>
      <c r="E86" s="434"/>
      <c r="F86" s="435"/>
      <c r="G86" s="436">
        <v>-48155086.999999598</v>
      </c>
      <c r="H86" s="436">
        <f t="shared" si="1"/>
        <v>48155.086999999599</v>
      </c>
      <c r="I86" s="437"/>
      <c r="J86" s="437"/>
      <c r="K86" s="437"/>
      <c r="L86" s="437"/>
      <c r="M86" s="437"/>
      <c r="N86" s="437"/>
      <c r="O86" s="437"/>
      <c r="P86" s="437"/>
      <c r="Q86" s="437"/>
      <c r="R86" s="437"/>
      <c r="S86" s="437"/>
    </row>
    <row r="87" spans="1:19" ht="12.75" customHeight="1" x14ac:dyDescent="0.25">
      <c r="A87" s="431">
        <v>5</v>
      </c>
      <c r="B87" s="431">
        <v>0</v>
      </c>
      <c r="C87" s="432" t="s">
        <v>2071</v>
      </c>
      <c r="D87" s="433" t="s">
        <v>97</v>
      </c>
      <c r="E87" s="434"/>
      <c r="F87" s="435"/>
      <c r="G87" s="436">
        <v>-19815000</v>
      </c>
      <c r="H87" s="436">
        <f t="shared" si="1"/>
        <v>19815</v>
      </c>
      <c r="I87" s="437"/>
      <c r="J87" s="437"/>
      <c r="K87" s="437"/>
      <c r="L87" s="437"/>
      <c r="M87" s="437"/>
      <c r="N87" s="437"/>
      <c r="O87" s="437"/>
      <c r="P87" s="437"/>
      <c r="Q87" s="437"/>
      <c r="R87" s="437"/>
      <c r="S87" s="437"/>
    </row>
    <row r="88" spans="1:19" ht="12.75" customHeight="1" x14ac:dyDescent="0.25">
      <c r="A88" s="431">
        <v>5</v>
      </c>
      <c r="B88" s="431">
        <v>0</v>
      </c>
      <c r="C88" s="432" t="s">
        <v>2072</v>
      </c>
      <c r="D88" s="433" t="s">
        <v>98</v>
      </c>
      <c r="E88" s="434"/>
      <c r="F88" s="435"/>
      <c r="G88" s="436">
        <v>-3959999.9999996098</v>
      </c>
      <c r="H88" s="436">
        <f t="shared" si="1"/>
        <v>3959.9999999996098</v>
      </c>
      <c r="I88" s="437"/>
      <c r="J88" s="437"/>
      <c r="K88" s="437"/>
      <c r="L88" s="437"/>
      <c r="M88" s="437"/>
      <c r="N88" s="437"/>
      <c r="O88" s="437"/>
      <c r="P88" s="437"/>
      <c r="Q88" s="437"/>
      <c r="R88" s="437"/>
      <c r="S88" s="437"/>
    </row>
    <row r="89" spans="1:19" ht="12.75" customHeight="1" x14ac:dyDescent="0.25">
      <c r="A89" s="431">
        <v>5</v>
      </c>
      <c r="B89" s="431">
        <v>0</v>
      </c>
      <c r="C89" s="432" t="s">
        <v>2073</v>
      </c>
      <c r="D89" s="433" t="s">
        <v>99</v>
      </c>
      <c r="E89" s="434"/>
      <c r="F89" s="435"/>
      <c r="G89" s="436">
        <v>-1925000</v>
      </c>
      <c r="H89" s="436">
        <f t="shared" si="1"/>
        <v>1925</v>
      </c>
      <c r="I89" s="437"/>
      <c r="J89" s="437"/>
      <c r="K89" s="437"/>
      <c r="L89" s="437"/>
      <c r="M89" s="437"/>
      <c r="N89" s="437"/>
      <c r="O89" s="437"/>
      <c r="P89" s="437"/>
      <c r="Q89" s="437"/>
      <c r="R89" s="437"/>
      <c r="S89" s="437"/>
    </row>
    <row r="90" spans="1:19" ht="12.75" customHeight="1" x14ac:dyDescent="0.25">
      <c r="A90" s="431">
        <v>5</v>
      </c>
      <c r="B90" s="431">
        <v>0</v>
      </c>
      <c r="C90" s="432" t="s">
        <v>2074</v>
      </c>
      <c r="D90" s="433" t="s">
        <v>100</v>
      </c>
      <c r="E90" s="434"/>
      <c r="F90" s="435"/>
      <c r="G90" s="436">
        <v>-220000</v>
      </c>
      <c r="H90" s="436">
        <f t="shared" si="1"/>
        <v>220</v>
      </c>
      <c r="I90" s="437"/>
      <c r="J90" s="437"/>
      <c r="K90" s="437"/>
      <c r="L90" s="437"/>
      <c r="M90" s="437"/>
      <c r="N90" s="437"/>
      <c r="O90" s="437"/>
      <c r="P90" s="437"/>
      <c r="Q90" s="437"/>
      <c r="R90" s="437"/>
      <c r="S90" s="437"/>
    </row>
    <row r="91" spans="1:19" ht="12.75" customHeight="1" x14ac:dyDescent="0.25">
      <c r="A91" s="431">
        <v>5</v>
      </c>
      <c r="B91" s="431">
        <v>0</v>
      </c>
      <c r="C91" s="432" t="s">
        <v>2075</v>
      </c>
      <c r="D91" s="433" t="s">
        <v>101</v>
      </c>
      <c r="E91" s="434"/>
      <c r="F91" s="435"/>
      <c r="G91" s="436">
        <v>-380000</v>
      </c>
      <c r="H91" s="436">
        <f t="shared" si="1"/>
        <v>380</v>
      </c>
      <c r="I91" s="437"/>
      <c r="J91" s="437"/>
      <c r="K91" s="437"/>
      <c r="L91" s="437"/>
      <c r="M91" s="437"/>
      <c r="N91" s="437"/>
      <c r="O91" s="437"/>
      <c r="P91" s="437"/>
      <c r="Q91" s="437"/>
      <c r="R91" s="437"/>
      <c r="S91" s="437"/>
    </row>
    <row r="92" spans="1:19" ht="12.75" customHeight="1" x14ac:dyDescent="0.25">
      <c r="A92" s="431">
        <v>5</v>
      </c>
      <c r="B92" s="431">
        <v>0</v>
      </c>
      <c r="C92" s="432" t="s">
        <v>2076</v>
      </c>
      <c r="D92" s="433" t="s">
        <v>102</v>
      </c>
      <c r="E92" s="434"/>
      <c r="F92" s="435"/>
      <c r="G92" s="436">
        <v>-30000</v>
      </c>
      <c r="H92" s="436">
        <f t="shared" si="1"/>
        <v>30</v>
      </c>
      <c r="I92" s="437"/>
      <c r="J92" s="437"/>
      <c r="K92" s="437"/>
      <c r="L92" s="437"/>
      <c r="M92" s="437"/>
      <c r="N92" s="437"/>
      <c r="O92" s="437"/>
      <c r="P92" s="437"/>
      <c r="Q92" s="437"/>
      <c r="R92" s="437"/>
      <c r="S92" s="437"/>
    </row>
    <row r="93" spans="1:19" ht="12.75" customHeight="1" x14ac:dyDescent="0.25">
      <c r="A93" s="431">
        <v>5</v>
      </c>
      <c r="B93" s="431">
        <v>0</v>
      </c>
      <c r="C93" s="432" t="s">
        <v>2077</v>
      </c>
      <c r="D93" s="433" t="s">
        <v>103</v>
      </c>
      <c r="E93" s="434"/>
      <c r="F93" s="435"/>
      <c r="G93" s="436">
        <v>-18053510</v>
      </c>
      <c r="H93" s="436">
        <f t="shared" si="1"/>
        <v>18053.509999999998</v>
      </c>
      <c r="I93" s="437"/>
      <c r="J93" s="437"/>
      <c r="K93" s="437"/>
      <c r="L93" s="437"/>
      <c r="M93" s="437"/>
      <c r="N93" s="437"/>
      <c r="O93" s="437"/>
      <c r="P93" s="437"/>
      <c r="Q93" s="437"/>
      <c r="R93" s="437"/>
      <c r="S93" s="437"/>
    </row>
    <row r="94" spans="1:19" ht="12.75" customHeight="1" x14ac:dyDescent="0.25">
      <c r="A94" s="431">
        <v>5</v>
      </c>
      <c r="B94" s="431">
        <v>0</v>
      </c>
      <c r="C94" s="432" t="s">
        <v>2078</v>
      </c>
      <c r="D94" s="433" t="s">
        <v>104</v>
      </c>
      <c r="E94" s="434"/>
      <c r="F94" s="435"/>
      <c r="G94" s="436">
        <v>-1759764</v>
      </c>
      <c r="H94" s="436">
        <f t="shared" si="1"/>
        <v>1759.7639999999999</v>
      </c>
      <c r="I94" s="437"/>
      <c r="J94" s="437"/>
      <c r="K94" s="437"/>
      <c r="L94" s="437"/>
      <c r="M94" s="437"/>
      <c r="N94" s="437"/>
      <c r="O94" s="437"/>
      <c r="P94" s="437"/>
      <c r="Q94" s="437"/>
      <c r="R94" s="437"/>
      <c r="S94" s="437"/>
    </row>
    <row r="95" spans="1:19" ht="12.75" customHeight="1" x14ac:dyDescent="0.25">
      <c r="A95" s="431">
        <v>5</v>
      </c>
      <c r="B95" s="431">
        <v>0</v>
      </c>
      <c r="C95" s="432" t="s">
        <v>2079</v>
      </c>
      <c r="D95" s="433" t="s">
        <v>105</v>
      </c>
      <c r="E95" s="434"/>
      <c r="F95" s="435"/>
      <c r="G95" s="436">
        <v>-458000</v>
      </c>
      <c r="H95" s="436">
        <f t="shared" si="1"/>
        <v>458</v>
      </c>
      <c r="I95" s="437"/>
      <c r="J95" s="437"/>
      <c r="K95" s="437"/>
      <c r="L95" s="437"/>
      <c r="M95" s="437"/>
      <c r="N95" s="437"/>
      <c r="O95" s="437"/>
      <c r="P95" s="437"/>
      <c r="Q95" s="437"/>
      <c r="R95" s="437"/>
      <c r="S95" s="437"/>
    </row>
    <row r="96" spans="1:19" ht="12.75" customHeight="1" x14ac:dyDescent="0.25">
      <c r="A96" s="431">
        <v>5</v>
      </c>
      <c r="B96" s="431">
        <v>0</v>
      </c>
      <c r="C96" s="432" t="s">
        <v>2080</v>
      </c>
      <c r="D96" s="433" t="s">
        <v>106</v>
      </c>
      <c r="E96" s="434"/>
      <c r="F96" s="435"/>
      <c r="G96" s="436">
        <v>-1553813</v>
      </c>
      <c r="H96" s="436">
        <f t="shared" si="1"/>
        <v>1553.8130000000001</v>
      </c>
      <c r="I96" s="437"/>
      <c r="J96" s="437"/>
      <c r="K96" s="437"/>
      <c r="L96" s="437"/>
      <c r="M96" s="437"/>
      <c r="N96" s="437"/>
      <c r="O96" s="437"/>
      <c r="P96" s="437"/>
      <c r="Q96" s="437"/>
      <c r="R96" s="437"/>
      <c r="S96" s="437"/>
    </row>
    <row r="97" spans="1:19" ht="12.75" customHeight="1" x14ac:dyDescent="0.25">
      <c r="A97" s="431">
        <v>4</v>
      </c>
      <c r="B97" s="431">
        <v>1</v>
      </c>
      <c r="C97" s="432" t="s">
        <v>2081</v>
      </c>
      <c r="D97" s="433" t="s">
        <v>107</v>
      </c>
      <c r="E97" s="434"/>
      <c r="F97" s="435"/>
      <c r="G97" s="436">
        <v>-43207590</v>
      </c>
      <c r="H97" s="436">
        <f t="shared" si="1"/>
        <v>43207.59</v>
      </c>
      <c r="I97" s="437"/>
      <c r="J97" s="437"/>
      <c r="K97" s="437"/>
      <c r="L97" s="437"/>
      <c r="M97" s="437"/>
      <c r="N97" s="437"/>
      <c r="O97" s="437"/>
      <c r="P97" s="437"/>
      <c r="Q97" s="437"/>
      <c r="R97" s="437"/>
      <c r="S97" s="437"/>
    </row>
    <row r="98" spans="1:19" ht="12.75" customHeight="1" x14ac:dyDescent="0.25">
      <c r="A98" s="431">
        <v>5</v>
      </c>
      <c r="B98" s="431">
        <v>0</v>
      </c>
      <c r="C98" s="432" t="s">
        <v>2082</v>
      </c>
      <c r="D98" s="433" t="s">
        <v>108</v>
      </c>
      <c r="E98" s="434"/>
      <c r="F98" s="435"/>
      <c r="G98" s="436">
        <v>-1200000</v>
      </c>
      <c r="H98" s="436">
        <f t="shared" si="1"/>
        <v>1200</v>
      </c>
      <c r="I98" s="437"/>
      <c r="J98" s="437"/>
      <c r="K98" s="437"/>
      <c r="L98" s="437"/>
      <c r="M98" s="437"/>
      <c r="N98" s="437"/>
      <c r="O98" s="437"/>
      <c r="P98" s="437"/>
      <c r="Q98" s="437"/>
      <c r="R98" s="437"/>
      <c r="S98" s="437"/>
    </row>
    <row r="99" spans="1:19" ht="12.75" customHeight="1" x14ac:dyDescent="0.25">
      <c r="A99" s="431">
        <v>5</v>
      </c>
      <c r="B99" s="431">
        <v>0</v>
      </c>
      <c r="C99" s="432" t="s">
        <v>2083</v>
      </c>
      <c r="D99" s="433" t="s">
        <v>109</v>
      </c>
      <c r="E99" s="434"/>
      <c r="F99" s="435"/>
      <c r="G99" s="436">
        <v>-2640590</v>
      </c>
      <c r="H99" s="436">
        <f t="shared" si="1"/>
        <v>2640.59</v>
      </c>
      <c r="I99" s="437"/>
      <c r="J99" s="437"/>
      <c r="K99" s="437"/>
      <c r="L99" s="437"/>
      <c r="M99" s="437"/>
      <c r="N99" s="437"/>
      <c r="O99" s="437"/>
      <c r="P99" s="437"/>
      <c r="Q99" s="437"/>
      <c r="R99" s="437"/>
      <c r="S99" s="437"/>
    </row>
    <row r="100" spans="1:19" ht="12.75" customHeight="1" x14ac:dyDescent="0.25">
      <c r="A100" s="431">
        <v>5</v>
      </c>
      <c r="B100" s="431">
        <v>0</v>
      </c>
      <c r="C100" s="432" t="s">
        <v>2084</v>
      </c>
      <c r="D100" s="433" t="s">
        <v>110</v>
      </c>
      <c r="E100" s="434"/>
      <c r="F100" s="435"/>
      <c r="G100" s="436">
        <v>-13236000</v>
      </c>
      <c r="H100" s="436">
        <f t="shared" si="1"/>
        <v>13236</v>
      </c>
      <c r="I100" s="437"/>
      <c r="J100" s="437"/>
      <c r="K100" s="437"/>
      <c r="L100" s="437"/>
      <c r="M100" s="437"/>
      <c r="N100" s="437"/>
      <c r="O100" s="437"/>
      <c r="P100" s="437"/>
      <c r="Q100" s="437"/>
      <c r="R100" s="437"/>
      <c r="S100" s="437"/>
    </row>
    <row r="101" spans="1:19" ht="12.75" customHeight="1" x14ac:dyDescent="0.25">
      <c r="A101" s="431">
        <v>5</v>
      </c>
      <c r="B101" s="431">
        <v>0</v>
      </c>
      <c r="C101" s="432" t="s">
        <v>2085</v>
      </c>
      <c r="D101" s="433" t="s">
        <v>111</v>
      </c>
      <c r="E101" s="434"/>
      <c r="F101" s="435"/>
      <c r="G101" s="436">
        <v>-5781000</v>
      </c>
      <c r="H101" s="436">
        <f t="shared" si="1"/>
        <v>5781</v>
      </c>
      <c r="I101" s="437"/>
      <c r="J101" s="437"/>
      <c r="K101" s="437"/>
      <c r="L101" s="437"/>
      <c r="M101" s="437"/>
      <c r="N101" s="437"/>
      <c r="O101" s="437"/>
      <c r="P101" s="437"/>
      <c r="Q101" s="437"/>
      <c r="R101" s="437"/>
      <c r="S101" s="437"/>
    </row>
    <row r="102" spans="1:19" ht="12.75" customHeight="1" x14ac:dyDescent="0.25">
      <c r="A102" s="431">
        <v>5</v>
      </c>
      <c r="B102" s="431">
        <v>0</v>
      </c>
      <c r="C102" s="432" t="s">
        <v>2086</v>
      </c>
      <c r="D102" s="433" t="s">
        <v>112</v>
      </c>
      <c r="E102" s="434"/>
      <c r="F102" s="435"/>
      <c r="G102" s="436">
        <v>-1603000</v>
      </c>
      <c r="H102" s="436">
        <f t="shared" si="1"/>
        <v>1603</v>
      </c>
      <c r="I102" s="437"/>
      <c r="J102" s="437"/>
      <c r="K102" s="437"/>
      <c r="L102" s="437"/>
      <c r="M102" s="437"/>
      <c r="N102" s="437"/>
      <c r="O102" s="437"/>
      <c r="P102" s="437"/>
      <c r="Q102" s="437"/>
      <c r="R102" s="437"/>
      <c r="S102" s="437"/>
    </row>
    <row r="103" spans="1:19" ht="12.75" customHeight="1" x14ac:dyDescent="0.25">
      <c r="A103" s="431">
        <v>5</v>
      </c>
      <c r="B103" s="431">
        <v>0</v>
      </c>
      <c r="C103" s="432" t="s">
        <v>2087</v>
      </c>
      <c r="D103" s="433" t="s">
        <v>114</v>
      </c>
      <c r="E103" s="434"/>
      <c r="F103" s="435"/>
      <c r="G103" s="436">
        <v>-150000</v>
      </c>
      <c r="H103" s="436">
        <f t="shared" si="1"/>
        <v>150</v>
      </c>
      <c r="I103" s="437"/>
      <c r="J103" s="437"/>
      <c r="K103" s="437"/>
      <c r="L103" s="437"/>
      <c r="M103" s="437"/>
      <c r="N103" s="437"/>
      <c r="O103" s="437"/>
      <c r="P103" s="437"/>
      <c r="Q103" s="437"/>
      <c r="R103" s="437"/>
      <c r="S103" s="437"/>
    </row>
    <row r="104" spans="1:19" ht="12.75" customHeight="1" x14ac:dyDescent="0.25">
      <c r="A104" s="431">
        <v>5</v>
      </c>
      <c r="B104" s="431">
        <v>0</v>
      </c>
      <c r="C104" s="432" t="s">
        <v>2088</v>
      </c>
      <c r="D104" s="433" t="s">
        <v>115</v>
      </c>
      <c r="E104" s="434"/>
      <c r="F104" s="435"/>
      <c r="G104" s="436">
        <v>-2186000</v>
      </c>
      <c r="H104" s="436">
        <f t="shared" si="1"/>
        <v>2186</v>
      </c>
      <c r="I104" s="437"/>
      <c r="J104" s="437"/>
      <c r="K104" s="437"/>
      <c r="L104" s="437"/>
      <c r="M104" s="437"/>
      <c r="N104" s="437"/>
      <c r="O104" s="437"/>
      <c r="P104" s="437"/>
      <c r="Q104" s="437"/>
      <c r="R104" s="437"/>
      <c r="S104" s="437"/>
    </row>
    <row r="105" spans="1:19" ht="12.75" customHeight="1" x14ac:dyDescent="0.25">
      <c r="A105" s="431">
        <v>5</v>
      </c>
      <c r="B105" s="431">
        <v>0</v>
      </c>
      <c r="C105" s="432" t="s">
        <v>2089</v>
      </c>
      <c r="D105" s="433" t="s">
        <v>116</v>
      </c>
      <c r="E105" s="434"/>
      <c r="F105" s="435"/>
      <c r="G105" s="436">
        <v>-200000</v>
      </c>
      <c r="H105" s="436">
        <f t="shared" si="1"/>
        <v>200</v>
      </c>
      <c r="I105" s="437"/>
      <c r="J105" s="437"/>
      <c r="K105" s="437"/>
      <c r="L105" s="437"/>
      <c r="M105" s="437"/>
      <c r="N105" s="437"/>
      <c r="O105" s="437"/>
      <c r="P105" s="437"/>
      <c r="Q105" s="437"/>
      <c r="R105" s="437"/>
      <c r="S105" s="437"/>
    </row>
    <row r="106" spans="1:19" ht="12.75" customHeight="1" x14ac:dyDescent="0.25">
      <c r="A106" s="431">
        <v>5</v>
      </c>
      <c r="B106" s="431">
        <v>0</v>
      </c>
      <c r="C106" s="432" t="s">
        <v>2090</v>
      </c>
      <c r="D106" s="433" t="s">
        <v>117</v>
      </c>
      <c r="E106" s="434"/>
      <c r="F106" s="435"/>
      <c r="G106" s="436">
        <v>-80000</v>
      </c>
      <c r="H106" s="436">
        <f t="shared" si="1"/>
        <v>80</v>
      </c>
      <c r="I106" s="437"/>
      <c r="J106" s="437"/>
      <c r="K106" s="437"/>
      <c r="L106" s="437"/>
      <c r="M106" s="437"/>
      <c r="N106" s="437"/>
      <c r="O106" s="437"/>
      <c r="P106" s="437"/>
      <c r="Q106" s="437"/>
      <c r="R106" s="437"/>
      <c r="S106" s="437"/>
    </row>
    <row r="107" spans="1:19" ht="12.75" customHeight="1" x14ac:dyDescent="0.25">
      <c r="A107" s="431">
        <v>5</v>
      </c>
      <c r="B107" s="431">
        <v>0</v>
      </c>
      <c r="C107" s="432" t="s">
        <v>2091</v>
      </c>
      <c r="D107" s="433" t="s">
        <v>118</v>
      </c>
      <c r="E107" s="434"/>
      <c r="F107" s="435"/>
      <c r="G107" s="436">
        <v>-3147000</v>
      </c>
      <c r="H107" s="436">
        <f t="shared" si="1"/>
        <v>3147</v>
      </c>
      <c r="I107" s="437"/>
      <c r="J107" s="437"/>
      <c r="K107" s="437"/>
      <c r="L107" s="437"/>
      <c r="M107" s="437"/>
      <c r="N107" s="437"/>
      <c r="O107" s="437"/>
      <c r="P107" s="437"/>
      <c r="Q107" s="437"/>
      <c r="R107" s="437"/>
      <c r="S107" s="437"/>
    </row>
    <row r="108" spans="1:19" ht="12.75" customHeight="1" x14ac:dyDescent="0.25">
      <c r="A108" s="431">
        <v>5</v>
      </c>
      <c r="B108" s="431">
        <v>0</v>
      </c>
      <c r="C108" s="432" t="s">
        <v>2092</v>
      </c>
      <c r="D108" s="433" t="s">
        <v>119</v>
      </c>
      <c r="E108" s="434"/>
      <c r="F108" s="435"/>
      <c r="G108" s="436">
        <v>-2000000</v>
      </c>
      <c r="H108" s="436">
        <f t="shared" si="1"/>
        <v>2000</v>
      </c>
      <c r="I108" s="437"/>
      <c r="J108" s="437"/>
      <c r="K108" s="437"/>
      <c r="L108" s="437"/>
      <c r="M108" s="437"/>
      <c r="N108" s="437"/>
      <c r="O108" s="437"/>
      <c r="P108" s="437"/>
      <c r="Q108" s="437"/>
      <c r="R108" s="437"/>
      <c r="S108" s="437"/>
    </row>
    <row r="109" spans="1:19" ht="12.75" customHeight="1" x14ac:dyDescent="0.25">
      <c r="A109" s="431">
        <v>5</v>
      </c>
      <c r="B109" s="431">
        <v>0</v>
      </c>
      <c r="C109" s="432" t="s">
        <v>2093</v>
      </c>
      <c r="D109" s="433" t="s">
        <v>120</v>
      </c>
      <c r="E109" s="434"/>
      <c r="F109" s="435"/>
      <c r="G109" s="436">
        <v>-450000</v>
      </c>
      <c r="H109" s="436">
        <f t="shared" si="1"/>
        <v>450</v>
      </c>
      <c r="I109" s="437"/>
      <c r="J109" s="437"/>
      <c r="K109" s="437"/>
      <c r="L109" s="437"/>
      <c r="M109" s="437"/>
      <c r="N109" s="437"/>
      <c r="O109" s="437"/>
      <c r="P109" s="437"/>
      <c r="Q109" s="437"/>
      <c r="R109" s="437"/>
      <c r="S109" s="437"/>
    </row>
    <row r="110" spans="1:19" ht="12.75" customHeight="1" x14ac:dyDescent="0.25">
      <c r="A110" s="431">
        <v>5</v>
      </c>
      <c r="B110" s="431">
        <v>0</v>
      </c>
      <c r="C110" s="432" t="s">
        <v>2094</v>
      </c>
      <c r="D110" s="433" t="s">
        <v>2095</v>
      </c>
      <c r="E110" s="434"/>
      <c r="F110" s="435"/>
      <c r="G110" s="436">
        <v>-300000</v>
      </c>
      <c r="H110" s="436">
        <f t="shared" si="1"/>
        <v>300</v>
      </c>
      <c r="I110" s="437"/>
      <c r="J110" s="437"/>
      <c r="K110" s="437"/>
      <c r="L110" s="437"/>
      <c r="M110" s="437"/>
      <c r="N110" s="437"/>
      <c r="O110" s="437"/>
      <c r="P110" s="437"/>
      <c r="Q110" s="437"/>
      <c r="R110" s="437"/>
      <c r="S110" s="437"/>
    </row>
    <row r="111" spans="1:19" ht="12.75" customHeight="1" x14ac:dyDescent="0.25">
      <c r="A111" s="431">
        <v>5</v>
      </c>
      <c r="B111" s="431">
        <v>0</v>
      </c>
      <c r="C111" s="432" t="s">
        <v>2096</v>
      </c>
      <c r="D111" s="433" t="s">
        <v>2097</v>
      </c>
      <c r="E111" s="434"/>
      <c r="F111" s="435"/>
      <c r="G111" s="436">
        <v>-120000</v>
      </c>
      <c r="H111" s="436">
        <f t="shared" si="1"/>
        <v>120</v>
      </c>
      <c r="I111" s="437"/>
      <c r="J111" s="437"/>
      <c r="K111" s="437"/>
      <c r="L111" s="437"/>
      <c r="M111" s="437"/>
      <c r="N111" s="437"/>
      <c r="O111" s="437"/>
      <c r="P111" s="437"/>
      <c r="Q111" s="437"/>
      <c r="R111" s="437"/>
      <c r="S111" s="437"/>
    </row>
    <row r="112" spans="1:19" ht="12.75" customHeight="1" x14ac:dyDescent="0.25">
      <c r="A112" s="431">
        <v>5</v>
      </c>
      <c r="B112" s="431">
        <v>0</v>
      </c>
      <c r="C112" s="432" t="s">
        <v>2098</v>
      </c>
      <c r="D112" s="433" t="s">
        <v>2099</v>
      </c>
      <c r="E112" s="434"/>
      <c r="F112" s="435"/>
      <c r="G112" s="436">
        <v>-180000</v>
      </c>
      <c r="H112" s="436">
        <f t="shared" si="1"/>
        <v>180</v>
      </c>
      <c r="I112" s="437"/>
      <c r="J112" s="437"/>
      <c r="K112" s="437"/>
      <c r="L112" s="437"/>
      <c r="M112" s="437"/>
      <c r="N112" s="437"/>
      <c r="O112" s="437"/>
      <c r="P112" s="437"/>
      <c r="Q112" s="437"/>
      <c r="R112" s="437"/>
      <c r="S112" s="437"/>
    </row>
    <row r="113" spans="1:19" ht="12.75" customHeight="1" x14ac:dyDescent="0.25">
      <c r="A113" s="431">
        <v>5</v>
      </c>
      <c r="B113" s="431">
        <v>0</v>
      </c>
      <c r="C113" s="432" t="s">
        <v>2100</v>
      </c>
      <c r="D113" s="433" t="s">
        <v>2101</v>
      </c>
      <c r="E113" s="434"/>
      <c r="F113" s="435"/>
      <c r="G113" s="436">
        <v>-8309000</v>
      </c>
      <c r="H113" s="436">
        <f t="shared" si="1"/>
        <v>8309</v>
      </c>
      <c r="I113" s="437"/>
      <c r="J113" s="437"/>
      <c r="K113" s="437"/>
      <c r="L113" s="437"/>
      <c r="M113" s="437"/>
      <c r="N113" s="437"/>
      <c r="O113" s="437"/>
      <c r="P113" s="437"/>
      <c r="Q113" s="437"/>
      <c r="R113" s="437"/>
      <c r="S113" s="437"/>
    </row>
    <row r="114" spans="1:19" ht="12.75" customHeight="1" x14ac:dyDescent="0.25">
      <c r="A114" s="431">
        <v>5</v>
      </c>
      <c r="B114" s="431">
        <v>0</v>
      </c>
      <c r="C114" s="432" t="s">
        <v>2102</v>
      </c>
      <c r="D114" s="433" t="s">
        <v>125</v>
      </c>
      <c r="E114" s="434"/>
      <c r="F114" s="435"/>
      <c r="G114" s="436">
        <v>-1620000</v>
      </c>
      <c r="H114" s="436">
        <f t="shared" si="1"/>
        <v>1620</v>
      </c>
      <c r="I114" s="437"/>
      <c r="J114" s="437"/>
      <c r="K114" s="437"/>
      <c r="L114" s="437"/>
      <c r="M114" s="437"/>
      <c r="N114" s="437"/>
      <c r="O114" s="437"/>
      <c r="P114" s="437"/>
      <c r="Q114" s="437"/>
      <c r="R114" s="437"/>
      <c r="S114" s="437"/>
    </row>
    <row r="115" spans="1:19" ht="12.75" customHeight="1" x14ac:dyDescent="0.25">
      <c r="A115" s="431">
        <v>5</v>
      </c>
      <c r="B115" s="431">
        <v>0</v>
      </c>
      <c r="C115" s="432" t="s">
        <v>2103</v>
      </c>
      <c r="D115" s="433" t="s">
        <v>2104</v>
      </c>
      <c r="E115" s="434"/>
      <c r="F115" s="435"/>
      <c r="G115" s="436">
        <v>-5000</v>
      </c>
      <c r="H115" s="436">
        <f t="shared" si="1"/>
        <v>5</v>
      </c>
      <c r="I115" s="437"/>
      <c r="J115" s="437"/>
      <c r="K115" s="437"/>
      <c r="L115" s="437"/>
      <c r="M115" s="437"/>
      <c r="N115" s="437"/>
      <c r="O115" s="437"/>
      <c r="P115" s="437"/>
      <c r="Q115" s="437"/>
      <c r="R115" s="437"/>
      <c r="S115" s="437"/>
    </row>
    <row r="116" spans="1:19" ht="12.75" customHeight="1" x14ac:dyDescent="0.25">
      <c r="A116" s="431">
        <v>4</v>
      </c>
      <c r="B116" s="431">
        <v>1</v>
      </c>
      <c r="C116" s="432" t="s">
        <v>2105</v>
      </c>
      <c r="D116" s="433" t="s">
        <v>127</v>
      </c>
      <c r="E116" s="434"/>
      <c r="F116" s="435"/>
      <c r="G116" s="436">
        <v>-13453960</v>
      </c>
      <c r="H116" s="436">
        <f t="shared" si="1"/>
        <v>13453.96</v>
      </c>
      <c r="I116" s="437"/>
      <c r="J116" s="437"/>
      <c r="K116" s="437"/>
      <c r="L116" s="437"/>
      <c r="M116" s="437"/>
      <c r="N116" s="437"/>
      <c r="O116" s="437"/>
      <c r="P116" s="437"/>
      <c r="Q116" s="437"/>
      <c r="R116" s="437"/>
      <c r="S116" s="437"/>
    </row>
    <row r="117" spans="1:19" ht="12.75" customHeight="1" x14ac:dyDescent="0.25">
      <c r="A117" s="431">
        <v>5</v>
      </c>
      <c r="B117" s="431">
        <v>0</v>
      </c>
      <c r="C117" s="432" t="s">
        <v>2106</v>
      </c>
      <c r="D117" s="433" t="s">
        <v>129</v>
      </c>
      <c r="E117" s="434"/>
      <c r="F117" s="435"/>
      <c r="G117" s="436">
        <v>-850000</v>
      </c>
      <c r="H117" s="436">
        <f t="shared" si="1"/>
        <v>850</v>
      </c>
      <c r="I117" s="437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</row>
    <row r="118" spans="1:19" ht="12.75" customHeight="1" x14ac:dyDescent="0.25">
      <c r="A118" s="431">
        <v>5</v>
      </c>
      <c r="B118" s="431">
        <v>0</v>
      </c>
      <c r="C118" s="432" t="s">
        <v>2107</v>
      </c>
      <c r="D118" s="433" t="s">
        <v>130</v>
      </c>
      <c r="E118" s="434"/>
      <c r="F118" s="435"/>
      <c r="G118" s="436">
        <v>-100000</v>
      </c>
      <c r="H118" s="436">
        <f t="shared" si="1"/>
        <v>100</v>
      </c>
      <c r="I118" s="437"/>
      <c r="J118" s="437"/>
      <c r="K118" s="437"/>
      <c r="L118" s="437"/>
      <c r="M118" s="437"/>
      <c r="N118" s="437"/>
      <c r="O118" s="437"/>
      <c r="P118" s="437"/>
      <c r="Q118" s="437"/>
      <c r="R118" s="437"/>
      <c r="S118" s="437"/>
    </row>
    <row r="119" spans="1:19" ht="12.75" customHeight="1" x14ac:dyDescent="0.25">
      <c r="A119" s="431">
        <v>5</v>
      </c>
      <c r="B119" s="431">
        <v>0</v>
      </c>
      <c r="C119" s="432" t="s">
        <v>2108</v>
      </c>
      <c r="D119" s="433" t="s">
        <v>131</v>
      </c>
      <c r="E119" s="434"/>
      <c r="F119" s="435"/>
      <c r="G119" s="436">
        <v>-7600000</v>
      </c>
      <c r="H119" s="436">
        <f t="shared" si="1"/>
        <v>7600</v>
      </c>
      <c r="I119" s="437"/>
      <c r="J119" s="437"/>
      <c r="K119" s="437"/>
      <c r="L119" s="437"/>
      <c r="M119" s="437"/>
      <c r="N119" s="437"/>
      <c r="O119" s="437"/>
      <c r="P119" s="437"/>
      <c r="Q119" s="437"/>
      <c r="R119" s="437"/>
      <c r="S119" s="437"/>
    </row>
    <row r="120" spans="1:19" ht="12.75" customHeight="1" x14ac:dyDescent="0.25">
      <c r="A120" s="431">
        <v>5</v>
      </c>
      <c r="B120" s="431">
        <v>0</v>
      </c>
      <c r="C120" s="432" t="s">
        <v>2109</v>
      </c>
      <c r="D120" s="433" t="s">
        <v>132</v>
      </c>
      <c r="E120" s="434"/>
      <c r="F120" s="435"/>
      <c r="G120" s="436">
        <v>-2753960</v>
      </c>
      <c r="H120" s="436">
        <f t="shared" si="1"/>
        <v>2753.96</v>
      </c>
      <c r="I120" s="437"/>
      <c r="J120" s="437"/>
      <c r="K120" s="437"/>
      <c r="L120" s="437"/>
      <c r="M120" s="437"/>
      <c r="N120" s="437"/>
      <c r="O120" s="437"/>
      <c r="P120" s="437"/>
      <c r="Q120" s="437"/>
      <c r="R120" s="437"/>
      <c r="S120" s="437"/>
    </row>
    <row r="121" spans="1:19" ht="12.75" customHeight="1" x14ac:dyDescent="0.25">
      <c r="A121" s="431">
        <v>5</v>
      </c>
      <c r="B121" s="431">
        <v>0</v>
      </c>
      <c r="C121" s="432" t="s">
        <v>2110</v>
      </c>
      <c r="D121" s="433" t="s">
        <v>133</v>
      </c>
      <c r="E121" s="434"/>
      <c r="F121" s="435"/>
      <c r="G121" s="436">
        <v>-700000</v>
      </c>
      <c r="H121" s="436">
        <f t="shared" si="1"/>
        <v>700</v>
      </c>
      <c r="I121" s="437"/>
      <c r="J121" s="437"/>
      <c r="K121" s="437"/>
      <c r="L121" s="437"/>
      <c r="M121" s="437"/>
      <c r="N121" s="437"/>
      <c r="O121" s="437"/>
      <c r="P121" s="437"/>
      <c r="Q121" s="437"/>
      <c r="R121" s="437"/>
      <c r="S121" s="437"/>
    </row>
    <row r="122" spans="1:19" ht="12.75" customHeight="1" x14ac:dyDescent="0.25">
      <c r="A122" s="431">
        <v>5</v>
      </c>
      <c r="B122" s="431">
        <v>0</v>
      </c>
      <c r="C122" s="432" t="s">
        <v>2111</v>
      </c>
      <c r="D122" s="433" t="s">
        <v>134</v>
      </c>
      <c r="E122" s="434"/>
      <c r="F122" s="435"/>
      <c r="G122" s="436">
        <v>-550000</v>
      </c>
      <c r="H122" s="436">
        <f t="shared" si="1"/>
        <v>550</v>
      </c>
      <c r="I122" s="437"/>
      <c r="J122" s="437"/>
      <c r="K122" s="437"/>
      <c r="L122" s="437"/>
      <c r="M122" s="437"/>
      <c r="N122" s="437"/>
      <c r="O122" s="437"/>
      <c r="P122" s="437"/>
      <c r="Q122" s="437"/>
      <c r="R122" s="437"/>
      <c r="S122" s="437"/>
    </row>
    <row r="123" spans="1:19" ht="12.75" customHeight="1" x14ac:dyDescent="0.25">
      <c r="A123" s="431">
        <v>5</v>
      </c>
      <c r="B123" s="431">
        <v>0</v>
      </c>
      <c r="C123" s="432" t="s">
        <v>2112</v>
      </c>
      <c r="D123" s="433" t="s">
        <v>2113</v>
      </c>
      <c r="E123" s="434"/>
      <c r="F123" s="435"/>
      <c r="G123" s="436">
        <v>-900000</v>
      </c>
      <c r="H123" s="436">
        <f t="shared" si="1"/>
        <v>900</v>
      </c>
      <c r="I123" s="437"/>
      <c r="J123" s="437"/>
      <c r="K123" s="437"/>
      <c r="L123" s="437"/>
      <c r="M123" s="437"/>
      <c r="N123" s="437"/>
      <c r="O123" s="437"/>
      <c r="P123" s="437"/>
      <c r="Q123" s="437"/>
      <c r="R123" s="437"/>
      <c r="S123" s="437"/>
    </row>
    <row r="124" spans="1:19" ht="12.75" customHeight="1" x14ac:dyDescent="0.25">
      <c r="A124" s="431">
        <v>4</v>
      </c>
      <c r="B124" s="431">
        <v>1</v>
      </c>
      <c r="C124" s="432" t="s">
        <v>2114</v>
      </c>
      <c r="D124" s="433" t="s">
        <v>136</v>
      </c>
      <c r="E124" s="434"/>
      <c r="F124" s="435"/>
      <c r="G124" s="436">
        <v>-28849706</v>
      </c>
      <c r="H124" s="436">
        <f t="shared" si="1"/>
        <v>28849.705999999998</v>
      </c>
      <c r="I124" s="437"/>
      <c r="J124" s="437"/>
      <c r="K124" s="437"/>
      <c r="L124" s="437"/>
      <c r="M124" s="437"/>
      <c r="N124" s="437"/>
      <c r="O124" s="437"/>
      <c r="P124" s="437"/>
      <c r="Q124" s="437"/>
      <c r="R124" s="437"/>
      <c r="S124" s="437"/>
    </row>
    <row r="125" spans="1:19" ht="12.75" customHeight="1" x14ac:dyDescent="0.25">
      <c r="A125" s="431">
        <v>5</v>
      </c>
      <c r="B125" s="431">
        <v>0</v>
      </c>
      <c r="C125" s="432" t="s">
        <v>2115</v>
      </c>
      <c r="D125" s="433" t="s">
        <v>137</v>
      </c>
      <c r="E125" s="434"/>
      <c r="F125" s="435"/>
      <c r="G125" s="436">
        <v>-400000</v>
      </c>
      <c r="H125" s="436">
        <f t="shared" si="1"/>
        <v>400</v>
      </c>
      <c r="I125" s="437"/>
      <c r="J125" s="437"/>
      <c r="K125" s="437"/>
      <c r="L125" s="437"/>
      <c r="M125" s="437"/>
      <c r="N125" s="437"/>
      <c r="O125" s="437"/>
      <c r="P125" s="437"/>
      <c r="Q125" s="437"/>
      <c r="R125" s="437"/>
      <c r="S125" s="437"/>
    </row>
    <row r="126" spans="1:19" ht="12.75" customHeight="1" x14ac:dyDescent="0.25">
      <c r="A126" s="431">
        <v>5</v>
      </c>
      <c r="B126" s="431">
        <v>0</v>
      </c>
      <c r="C126" s="432" t="s">
        <v>2116</v>
      </c>
      <c r="D126" s="433" t="s">
        <v>139</v>
      </c>
      <c r="E126" s="434"/>
      <c r="F126" s="435"/>
      <c r="G126" s="436">
        <v>-1000000</v>
      </c>
      <c r="H126" s="436">
        <f t="shared" si="1"/>
        <v>1000</v>
      </c>
      <c r="I126" s="437"/>
      <c r="J126" s="437"/>
      <c r="K126" s="437"/>
      <c r="L126" s="437"/>
      <c r="M126" s="437"/>
      <c r="N126" s="437"/>
      <c r="O126" s="437"/>
      <c r="P126" s="437"/>
      <c r="Q126" s="437"/>
      <c r="R126" s="437"/>
      <c r="S126" s="437"/>
    </row>
    <row r="127" spans="1:19" ht="12.75" customHeight="1" x14ac:dyDescent="0.25">
      <c r="A127" s="431">
        <v>5</v>
      </c>
      <c r="B127" s="431">
        <v>0</v>
      </c>
      <c r="C127" s="432" t="s">
        <v>2117</v>
      </c>
      <c r="D127" s="433" t="s">
        <v>140</v>
      </c>
      <c r="E127" s="434"/>
      <c r="F127" s="435"/>
      <c r="G127" s="436">
        <v>-125000</v>
      </c>
      <c r="H127" s="436">
        <f t="shared" si="1"/>
        <v>125</v>
      </c>
      <c r="I127" s="437"/>
      <c r="J127" s="437"/>
      <c r="K127" s="437"/>
      <c r="L127" s="437"/>
      <c r="M127" s="437"/>
      <c r="N127" s="437"/>
      <c r="O127" s="437"/>
      <c r="P127" s="437"/>
      <c r="Q127" s="437"/>
      <c r="R127" s="437"/>
      <c r="S127" s="437"/>
    </row>
    <row r="128" spans="1:19" ht="12.75" customHeight="1" x14ac:dyDescent="0.25">
      <c r="A128" s="431">
        <v>5</v>
      </c>
      <c r="B128" s="431">
        <v>0</v>
      </c>
      <c r="C128" s="432" t="s">
        <v>2118</v>
      </c>
      <c r="D128" s="433" t="s">
        <v>141</v>
      </c>
      <c r="E128" s="434"/>
      <c r="F128" s="435"/>
      <c r="G128" s="436">
        <v>-250000</v>
      </c>
      <c r="H128" s="436">
        <f t="shared" si="1"/>
        <v>250</v>
      </c>
      <c r="I128" s="437"/>
      <c r="J128" s="437"/>
      <c r="K128" s="437"/>
      <c r="L128" s="437"/>
      <c r="M128" s="437"/>
      <c r="N128" s="437"/>
      <c r="O128" s="437"/>
      <c r="P128" s="437"/>
      <c r="Q128" s="437"/>
      <c r="R128" s="437"/>
      <c r="S128" s="437"/>
    </row>
    <row r="129" spans="1:19" ht="12.75" customHeight="1" x14ac:dyDescent="0.25">
      <c r="A129" s="431">
        <v>5</v>
      </c>
      <c r="B129" s="431">
        <v>0</v>
      </c>
      <c r="C129" s="432" t="s">
        <v>2119</v>
      </c>
      <c r="D129" s="433" t="s">
        <v>143</v>
      </c>
      <c r="E129" s="434"/>
      <c r="F129" s="435"/>
      <c r="G129" s="436">
        <v>-6905000</v>
      </c>
      <c r="H129" s="436">
        <f t="shared" si="1"/>
        <v>6905</v>
      </c>
      <c r="I129" s="437"/>
      <c r="J129" s="437"/>
      <c r="K129" s="437"/>
      <c r="L129" s="437"/>
      <c r="M129" s="437"/>
      <c r="N129" s="437"/>
      <c r="O129" s="437"/>
      <c r="P129" s="437"/>
      <c r="Q129" s="437"/>
      <c r="R129" s="437"/>
      <c r="S129" s="437"/>
    </row>
    <row r="130" spans="1:19" ht="12.75" customHeight="1" x14ac:dyDescent="0.25">
      <c r="A130" s="431">
        <v>5</v>
      </c>
      <c r="B130" s="431">
        <v>0</v>
      </c>
      <c r="C130" s="432" t="s">
        <v>2120</v>
      </c>
      <c r="D130" s="433" t="s">
        <v>144</v>
      </c>
      <c r="E130" s="434"/>
      <c r="F130" s="435"/>
      <c r="G130" s="436">
        <v>-14250706</v>
      </c>
      <c r="H130" s="436">
        <f t="shared" si="1"/>
        <v>14250.706</v>
      </c>
      <c r="I130" s="437"/>
      <c r="J130" s="437"/>
      <c r="K130" s="437"/>
      <c r="L130" s="437"/>
      <c r="M130" s="437"/>
      <c r="N130" s="437"/>
      <c r="O130" s="437"/>
      <c r="P130" s="437"/>
      <c r="Q130" s="437"/>
      <c r="R130" s="437"/>
      <c r="S130" s="437"/>
    </row>
    <row r="131" spans="1:19" ht="12.75" customHeight="1" x14ac:dyDescent="0.25">
      <c r="A131" s="431">
        <v>5</v>
      </c>
      <c r="B131" s="431">
        <v>0</v>
      </c>
      <c r="C131" s="432" t="s">
        <v>2121</v>
      </c>
      <c r="D131" s="433" t="s">
        <v>145</v>
      </c>
      <c r="E131" s="434"/>
      <c r="F131" s="435"/>
      <c r="G131" s="436">
        <v>-5919000</v>
      </c>
      <c r="H131" s="436">
        <f t="shared" si="1"/>
        <v>5919</v>
      </c>
      <c r="I131" s="437"/>
      <c r="J131" s="437"/>
      <c r="K131" s="437"/>
      <c r="L131" s="437"/>
      <c r="M131" s="437"/>
      <c r="N131" s="437"/>
      <c r="O131" s="437"/>
      <c r="P131" s="437"/>
      <c r="Q131" s="437"/>
      <c r="R131" s="437"/>
      <c r="S131" s="437"/>
    </row>
    <row r="132" spans="1:19" ht="12.75" customHeight="1" x14ac:dyDescent="0.25">
      <c r="A132" s="431">
        <v>4</v>
      </c>
      <c r="B132" s="431">
        <v>1</v>
      </c>
      <c r="C132" s="432" t="s">
        <v>2122</v>
      </c>
      <c r="D132" s="433" t="s">
        <v>146</v>
      </c>
      <c r="E132" s="434"/>
      <c r="F132" s="435"/>
      <c r="G132" s="436">
        <v>-125000</v>
      </c>
      <c r="H132" s="436">
        <f t="shared" si="1"/>
        <v>125</v>
      </c>
      <c r="I132" s="437"/>
      <c r="J132" s="437"/>
      <c r="K132" s="437"/>
      <c r="L132" s="437"/>
      <c r="M132" s="437"/>
      <c r="N132" s="437"/>
      <c r="O132" s="437"/>
      <c r="P132" s="437"/>
      <c r="Q132" s="437"/>
      <c r="R132" s="437"/>
      <c r="S132" s="437"/>
    </row>
    <row r="133" spans="1:19" ht="12.75" customHeight="1" x14ac:dyDescent="0.25">
      <c r="A133" s="431">
        <v>5</v>
      </c>
      <c r="B133" s="431">
        <v>0</v>
      </c>
      <c r="C133" s="432" t="s">
        <v>2123</v>
      </c>
      <c r="D133" s="433" t="s">
        <v>147</v>
      </c>
      <c r="E133" s="434"/>
      <c r="F133" s="435"/>
      <c r="G133" s="436">
        <v>-125000</v>
      </c>
      <c r="H133" s="436">
        <f t="shared" si="1"/>
        <v>125</v>
      </c>
      <c r="I133" s="437"/>
      <c r="J133" s="437"/>
      <c r="K133" s="437"/>
      <c r="L133" s="437"/>
      <c r="M133" s="437"/>
      <c r="N133" s="437"/>
      <c r="O133" s="437"/>
      <c r="P133" s="437"/>
      <c r="Q133" s="437"/>
      <c r="R133" s="437"/>
      <c r="S133" s="437"/>
    </row>
    <row r="134" spans="1:19" ht="12.75" customHeight="1" x14ac:dyDescent="0.25">
      <c r="A134" s="431">
        <v>4</v>
      </c>
      <c r="B134" s="431">
        <v>1</v>
      </c>
      <c r="C134" s="432" t="s">
        <v>2124</v>
      </c>
      <c r="D134" s="433" t="s">
        <v>148</v>
      </c>
      <c r="E134" s="434"/>
      <c r="F134" s="435"/>
      <c r="G134" s="436">
        <v>-2000000</v>
      </c>
      <c r="H134" s="436">
        <f t="shared" si="1"/>
        <v>2000</v>
      </c>
      <c r="I134" s="437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</row>
    <row r="135" spans="1:19" ht="12.75" customHeight="1" x14ac:dyDescent="0.25">
      <c r="A135" s="431">
        <v>5</v>
      </c>
      <c r="B135" s="431">
        <v>0</v>
      </c>
      <c r="C135" s="432" t="s">
        <v>2125</v>
      </c>
      <c r="D135" s="433" t="s">
        <v>149</v>
      </c>
      <c r="E135" s="434"/>
      <c r="F135" s="435"/>
      <c r="G135" s="436">
        <v>-500000</v>
      </c>
      <c r="H135" s="436">
        <f t="shared" si="1"/>
        <v>500</v>
      </c>
      <c r="I135" s="437"/>
      <c r="J135" s="437"/>
      <c r="K135" s="437"/>
      <c r="L135" s="437"/>
      <c r="M135" s="437"/>
      <c r="N135" s="437"/>
      <c r="O135" s="437"/>
      <c r="P135" s="437"/>
      <c r="Q135" s="437"/>
      <c r="R135" s="437"/>
      <c r="S135" s="437"/>
    </row>
    <row r="136" spans="1:19" ht="12.75" customHeight="1" x14ac:dyDescent="0.25">
      <c r="A136" s="431">
        <v>5</v>
      </c>
      <c r="B136" s="431">
        <v>0</v>
      </c>
      <c r="C136" s="432" t="s">
        <v>2126</v>
      </c>
      <c r="D136" s="433" t="s">
        <v>150</v>
      </c>
      <c r="E136" s="434"/>
      <c r="F136" s="435"/>
      <c r="G136" s="436">
        <v>-1500000</v>
      </c>
      <c r="H136" s="436">
        <f t="shared" si="1"/>
        <v>1500</v>
      </c>
      <c r="I136" s="437"/>
      <c r="J136" s="437"/>
      <c r="K136" s="437"/>
      <c r="L136" s="437"/>
      <c r="M136" s="437"/>
      <c r="N136" s="437"/>
      <c r="O136" s="437"/>
      <c r="P136" s="437"/>
      <c r="Q136" s="437"/>
      <c r="R136" s="437"/>
      <c r="S136" s="437"/>
    </row>
    <row r="137" spans="1:19" ht="12.75" customHeight="1" x14ac:dyDescent="0.25">
      <c r="A137" s="431">
        <v>3</v>
      </c>
      <c r="B137" s="431">
        <v>2</v>
      </c>
      <c r="C137" s="432" t="s">
        <v>165</v>
      </c>
      <c r="D137" s="433" t="s">
        <v>166</v>
      </c>
      <c r="E137" s="434"/>
      <c r="F137" s="435"/>
      <c r="G137" s="436">
        <v>-107540000</v>
      </c>
      <c r="H137" s="436">
        <f t="shared" si="1"/>
        <v>107540</v>
      </c>
      <c r="I137" s="437"/>
      <c r="J137" s="437"/>
      <c r="K137" s="437"/>
      <c r="L137" s="437"/>
      <c r="M137" s="437"/>
      <c r="N137" s="437"/>
      <c r="O137" s="437"/>
      <c r="P137" s="437"/>
      <c r="Q137" s="437"/>
      <c r="R137" s="437"/>
      <c r="S137" s="437"/>
    </row>
    <row r="138" spans="1:19" ht="12.75" customHeight="1" x14ac:dyDescent="0.25">
      <c r="A138" s="431">
        <v>4</v>
      </c>
      <c r="B138" s="431">
        <v>1</v>
      </c>
      <c r="C138" s="432" t="s">
        <v>2127</v>
      </c>
      <c r="D138" s="433" t="s">
        <v>169</v>
      </c>
      <c r="E138" s="434"/>
      <c r="F138" s="435"/>
      <c r="G138" s="436">
        <v>-107540000</v>
      </c>
      <c r="H138" s="436">
        <f t="shared" si="1"/>
        <v>107540</v>
      </c>
      <c r="I138" s="437"/>
      <c r="J138" s="437"/>
      <c r="K138" s="437"/>
      <c r="L138" s="437"/>
      <c r="M138" s="437"/>
      <c r="N138" s="437"/>
      <c r="O138" s="437"/>
      <c r="P138" s="437"/>
      <c r="Q138" s="437"/>
      <c r="R138" s="437"/>
      <c r="S138" s="437"/>
    </row>
    <row r="139" spans="1:19" ht="12.75" customHeight="1" x14ac:dyDescent="0.25">
      <c r="A139" s="431">
        <v>5</v>
      </c>
      <c r="B139" s="431">
        <v>0</v>
      </c>
      <c r="C139" s="432" t="s">
        <v>2128</v>
      </c>
      <c r="D139" s="433" t="s">
        <v>170</v>
      </c>
      <c r="E139" s="434"/>
      <c r="F139" s="435"/>
      <c r="G139" s="436">
        <v>-39000000</v>
      </c>
      <c r="H139" s="436">
        <f t="shared" si="1"/>
        <v>39000</v>
      </c>
      <c r="I139" s="437"/>
      <c r="J139" s="437"/>
      <c r="K139" s="437"/>
      <c r="L139" s="437"/>
      <c r="M139" s="437"/>
      <c r="N139" s="437"/>
      <c r="O139" s="437"/>
      <c r="P139" s="437"/>
      <c r="Q139" s="437"/>
      <c r="R139" s="437"/>
      <c r="S139" s="437"/>
    </row>
    <row r="140" spans="1:19" ht="12.75" customHeight="1" x14ac:dyDescent="0.25">
      <c r="A140" s="431">
        <v>5</v>
      </c>
      <c r="B140" s="431">
        <v>0</v>
      </c>
      <c r="C140" s="432" t="s">
        <v>2129</v>
      </c>
      <c r="D140" s="433" t="s">
        <v>171</v>
      </c>
      <c r="E140" s="434"/>
      <c r="F140" s="435"/>
      <c r="G140" s="436">
        <v>-17350000</v>
      </c>
      <c r="H140" s="436">
        <f t="shared" ref="H140:H203" si="2">+G140/1000*-1</f>
        <v>17350</v>
      </c>
      <c r="I140" s="437"/>
      <c r="J140" s="437"/>
      <c r="K140" s="437"/>
      <c r="L140" s="437"/>
      <c r="M140" s="437"/>
      <c r="N140" s="437"/>
      <c r="O140" s="437"/>
      <c r="P140" s="437"/>
      <c r="Q140" s="437"/>
      <c r="R140" s="437"/>
      <c r="S140" s="437"/>
    </row>
    <row r="141" spans="1:19" ht="12.75" customHeight="1" x14ac:dyDescent="0.25">
      <c r="A141" s="431">
        <v>5</v>
      </c>
      <c r="B141" s="431">
        <v>0</v>
      </c>
      <c r="C141" s="432" t="s">
        <v>2130</v>
      </c>
      <c r="D141" s="433" t="s">
        <v>172</v>
      </c>
      <c r="E141" s="434"/>
      <c r="F141" s="435"/>
      <c r="G141" s="436">
        <v>-50440000</v>
      </c>
      <c r="H141" s="436">
        <f t="shared" si="2"/>
        <v>50440</v>
      </c>
      <c r="I141" s="437"/>
      <c r="J141" s="437"/>
      <c r="K141" s="437"/>
      <c r="L141" s="437"/>
      <c r="M141" s="437"/>
      <c r="N141" s="437"/>
      <c r="O141" s="437"/>
      <c r="P141" s="437"/>
      <c r="Q141" s="437"/>
      <c r="R141" s="437"/>
      <c r="S141" s="437"/>
    </row>
    <row r="142" spans="1:19" ht="12.75" customHeight="1" x14ac:dyDescent="0.25">
      <c r="A142" s="431">
        <v>5</v>
      </c>
      <c r="B142" s="431">
        <v>0</v>
      </c>
      <c r="C142" s="432" t="s">
        <v>2131</v>
      </c>
      <c r="D142" s="433" t="s">
        <v>173</v>
      </c>
      <c r="E142" s="434"/>
      <c r="F142" s="435"/>
      <c r="G142" s="436">
        <v>-750000</v>
      </c>
      <c r="H142" s="436">
        <f t="shared" si="2"/>
        <v>750</v>
      </c>
      <c r="I142" s="437"/>
      <c r="J142" s="437"/>
      <c r="K142" s="437"/>
      <c r="L142" s="437"/>
      <c r="M142" s="437"/>
      <c r="N142" s="437"/>
      <c r="O142" s="437"/>
      <c r="P142" s="437"/>
      <c r="Q142" s="437"/>
      <c r="R142" s="437"/>
      <c r="S142" s="437"/>
    </row>
    <row r="143" spans="1:19" ht="12.75" customHeight="1" x14ac:dyDescent="0.25">
      <c r="A143" s="431">
        <v>3</v>
      </c>
      <c r="B143" s="431">
        <v>2</v>
      </c>
      <c r="C143" s="432" t="s">
        <v>180</v>
      </c>
      <c r="D143" s="433" t="s">
        <v>181</v>
      </c>
      <c r="E143" s="434"/>
      <c r="F143" s="435"/>
      <c r="G143" s="436">
        <v>-378457113.11260003</v>
      </c>
      <c r="H143" s="436">
        <f t="shared" si="2"/>
        <v>378457.11311260005</v>
      </c>
      <c r="I143" s="437"/>
      <c r="J143" s="437"/>
      <c r="K143" s="437"/>
      <c r="L143" s="437"/>
      <c r="M143" s="437"/>
      <c r="N143" s="437"/>
      <c r="O143" s="437"/>
      <c r="P143" s="437"/>
      <c r="Q143" s="437"/>
      <c r="R143" s="437"/>
      <c r="S143" s="437"/>
    </row>
    <row r="144" spans="1:19" ht="12.75" customHeight="1" x14ac:dyDescent="0.25">
      <c r="A144" s="431">
        <v>4</v>
      </c>
      <c r="B144" s="431">
        <v>1</v>
      </c>
      <c r="C144" s="432" t="s">
        <v>2132</v>
      </c>
      <c r="D144" s="433" t="s">
        <v>182</v>
      </c>
      <c r="E144" s="434"/>
      <c r="F144" s="435"/>
      <c r="G144" s="436">
        <v>-3801000</v>
      </c>
      <c r="H144" s="436">
        <f t="shared" si="2"/>
        <v>3801</v>
      </c>
      <c r="I144" s="437"/>
      <c r="J144" s="437"/>
      <c r="K144" s="437"/>
      <c r="L144" s="437"/>
      <c r="M144" s="437"/>
      <c r="N144" s="437"/>
      <c r="O144" s="437"/>
      <c r="P144" s="437"/>
      <c r="Q144" s="437"/>
      <c r="R144" s="437"/>
      <c r="S144" s="437"/>
    </row>
    <row r="145" spans="1:19" ht="12.75" customHeight="1" x14ac:dyDescent="0.25">
      <c r="A145" s="431">
        <v>5</v>
      </c>
      <c r="B145" s="431">
        <v>0</v>
      </c>
      <c r="C145" s="432" t="s">
        <v>2133</v>
      </c>
      <c r="D145" s="433" t="s">
        <v>183</v>
      </c>
      <c r="E145" s="434"/>
      <c r="F145" s="435"/>
      <c r="G145" s="436">
        <v>-2716000</v>
      </c>
      <c r="H145" s="436">
        <f t="shared" si="2"/>
        <v>2716</v>
      </c>
      <c r="I145" s="437"/>
      <c r="J145" s="437"/>
      <c r="K145" s="437"/>
      <c r="L145" s="437"/>
      <c r="M145" s="437"/>
      <c r="N145" s="437"/>
      <c r="O145" s="437"/>
      <c r="P145" s="437"/>
      <c r="Q145" s="437"/>
      <c r="R145" s="437"/>
      <c r="S145" s="437"/>
    </row>
    <row r="146" spans="1:19" ht="12.75" customHeight="1" x14ac:dyDescent="0.25">
      <c r="A146" s="431">
        <v>5</v>
      </c>
      <c r="B146" s="431">
        <v>0</v>
      </c>
      <c r="C146" s="432" t="s">
        <v>2134</v>
      </c>
      <c r="D146" s="433" t="s">
        <v>184</v>
      </c>
      <c r="E146" s="434"/>
      <c r="F146" s="435"/>
      <c r="G146" s="436">
        <v>-230000</v>
      </c>
      <c r="H146" s="436">
        <f t="shared" si="2"/>
        <v>230</v>
      </c>
      <c r="I146" s="437"/>
      <c r="J146" s="437"/>
      <c r="K146" s="437"/>
      <c r="L146" s="437"/>
      <c r="M146" s="437"/>
      <c r="N146" s="437"/>
      <c r="O146" s="437"/>
      <c r="P146" s="437"/>
      <c r="Q146" s="437"/>
      <c r="R146" s="437"/>
      <c r="S146" s="437"/>
    </row>
    <row r="147" spans="1:19" ht="12.75" customHeight="1" x14ac:dyDescent="0.25">
      <c r="A147" s="431">
        <v>5</v>
      </c>
      <c r="B147" s="431">
        <v>0</v>
      </c>
      <c r="C147" s="432" t="s">
        <v>2135</v>
      </c>
      <c r="D147" s="433" t="s">
        <v>185</v>
      </c>
      <c r="E147" s="434"/>
      <c r="F147" s="435"/>
      <c r="G147" s="436">
        <v>-855000</v>
      </c>
      <c r="H147" s="436">
        <f t="shared" si="2"/>
        <v>855</v>
      </c>
      <c r="I147" s="437"/>
      <c r="J147" s="437"/>
      <c r="K147" s="437"/>
      <c r="L147" s="437"/>
      <c r="M147" s="437"/>
      <c r="N147" s="437"/>
      <c r="O147" s="437"/>
      <c r="P147" s="437"/>
      <c r="Q147" s="437"/>
      <c r="R147" s="437"/>
      <c r="S147" s="437"/>
    </row>
    <row r="148" spans="1:19" ht="12.75" customHeight="1" x14ac:dyDescent="0.25">
      <c r="A148" s="431">
        <v>4</v>
      </c>
      <c r="B148" s="431">
        <v>1</v>
      </c>
      <c r="C148" s="432" t="s">
        <v>2136</v>
      </c>
      <c r="D148" s="433" t="s">
        <v>188</v>
      </c>
      <c r="E148" s="434"/>
      <c r="F148" s="435"/>
      <c r="G148" s="436">
        <v>-374656113.11260003</v>
      </c>
      <c r="H148" s="436">
        <f t="shared" si="2"/>
        <v>374656.11311260005</v>
      </c>
      <c r="I148" s="437"/>
      <c r="J148" s="437"/>
      <c r="K148" s="437"/>
      <c r="L148" s="437"/>
      <c r="M148" s="437"/>
      <c r="N148" s="437"/>
      <c r="O148" s="437"/>
      <c r="P148" s="437"/>
      <c r="Q148" s="437"/>
      <c r="R148" s="437"/>
      <c r="S148" s="437"/>
    </row>
    <row r="149" spans="1:19" ht="12.75" customHeight="1" x14ac:dyDescent="0.25">
      <c r="A149" s="431">
        <v>5</v>
      </c>
      <c r="B149" s="431">
        <v>0</v>
      </c>
      <c r="C149" s="432" t="s">
        <v>2137</v>
      </c>
      <c r="D149" s="433" t="s">
        <v>189</v>
      </c>
      <c r="E149" s="434"/>
      <c r="F149" s="435"/>
      <c r="G149" s="436">
        <v>-35614923.314850003</v>
      </c>
      <c r="H149" s="436">
        <f t="shared" si="2"/>
        <v>35614.923314850006</v>
      </c>
      <c r="I149" s="437"/>
      <c r="J149" s="437"/>
      <c r="K149" s="437"/>
      <c r="L149" s="437"/>
      <c r="M149" s="437"/>
      <c r="N149" s="437"/>
      <c r="O149" s="437"/>
      <c r="P149" s="437"/>
      <c r="Q149" s="437"/>
      <c r="R149" s="437"/>
      <c r="S149" s="437"/>
    </row>
    <row r="150" spans="1:19" ht="12.75" customHeight="1" x14ac:dyDescent="0.25">
      <c r="A150" s="431">
        <v>5</v>
      </c>
      <c r="B150" s="431">
        <v>0</v>
      </c>
      <c r="C150" s="432" t="s">
        <v>2138</v>
      </c>
      <c r="D150" s="433" t="s">
        <v>190</v>
      </c>
      <c r="E150" s="434"/>
      <c r="F150" s="435"/>
      <c r="G150" s="436">
        <v>-1834965.2211</v>
      </c>
      <c r="H150" s="436">
        <f t="shared" si="2"/>
        <v>1834.9652211</v>
      </c>
      <c r="I150" s="437"/>
      <c r="J150" s="437"/>
      <c r="K150" s="437"/>
      <c r="L150" s="437"/>
      <c r="M150" s="437"/>
      <c r="N150" s="437"/>
      <c r="O150" s="437"/>
      <c r="P150" s="437"/>
      <c r="Q150" s="437"/>
      <c r="R150" s="437"/>
      <c r="S150" s="437"/>
    </row>
    <row r="151" spans="1:19" ht="12.75" customHeight="1" x14ac:dyDescent="0.25">
      <c r="A151" s="431">
        <v>5</v>
      </c>
      <c r="B151" s="431">
        <v>0</v>
      </c>
      <c r="C151" s="432" t="s">
        <v>2139</v>
      </c>
      <c r="D151" s="433" t="s">
        <v>191</v>
      </c>
      <c r="E151" s="434"/>
      <c r="F151" s="435"/>
      <c r="G151" s="436">
        <v>-1397800.0464999999</v>
      </c>
      <c r="H151" s="436">
        <f t="shared" si="2"/>
        <v>1397.8000465</v>
      </c>
      <c r="I151" s="437"/>
      <c r="J151" s="437"/>
      <c r="K151" s="437"/>
      <c r="L151" s="437"/>
      <c r="M151" s="437"/>
      <c r="N151" s="437"/>
      <c r="O151" s="437"/>
      <c r="P151" s="437"/>
      <c r="Q151" s="437"/>
      <c r="R151" s="437"/>
      <c r="S151" s="437"/>
    </row>
    <row r="152" spans="1:19" ht="12.75" customHeight="1" x14ac:dyDescent="0.25">
      <c r="A152" s="431">
        <v>5</v>
      </c>
      <c r="B152" s="431">
        <v>0</v>
      </c>
      <c r="C152" s="432" t="s">
        <v>2140</v>
      </c>
      <c r="D152" s="433" t="s">
        <v>192</v>
      </c>
      <c r="E152" s="434"/>
      <c r="F152" s="435"/>
      <c r="G152" s="436">
        <v>-270888676.72404999</v>
      </c>
      <c r="H152" s="436">
        <f t="shared" si="2"/>
        <v>270888.67672404996</v>
      </c>
      <c r="I152" s="437"/>
      <c r="J152" s="437"/>
      <c r="K152" s="437"/>
      <c r="L152" s="437"/>
      <c r="M152" s="437"/>
      <c r="N152" s="437"/>
      <c r="O152" s="437"/>
      <c r="P152" s="437"/>
      <c r="Q152" s="437"/>
      <c r="R152" s="437"/>
      <c r="S152" s="437"/>
    </row>
    <row r="153" spans="1:19" ht="12.75" customHeight="1" x14ac:dyDescent="0.25">
      <c r="A153" s="431">
        <v>5</v>
      </c>
      <c r="B153" s="431">
        <v>0</v>
      </c>
      <c r="C153" s="432" t="s">
        <v>2141</v>
      </c>
      <c r="D153" s="433" t="s">
        <v>193</v>
      </c>
      <c r="E153" s="434"/>
      <c r="F153" s="435"/>
      <c r="G153" s="436">
        <v>-6555351.7545999996</v>
      </c>
      <c r="H153" s="436">
        <f t="shared" si="2"/>
        <v>6555.3517545999994</v>
      </c>
      <c r="I153" s="437"/>
      <c r="J153" s="437"/>
      <c r="K153" s="437"/>
      <c r="L153" s="437"/>
      <c r="M153" s="437"/>
      <c r="N153" s="437"/>
      <c r="O153" s="437"/>
      <c r="P153" s="437"/>
      <c r="Q153" s="437"/>
      <c r="R153" s="437"/>
      <c r="S153" s="437"/>
    </row>
    <row r="154" spans="1:19" ht="12.75" customHeight="1" x14ac:dyDescent="0.25">
      <c r="A154" s="431">
        <v>5</v>
      </c>
      <c r="B154" s="431">
        <v>0</v>
      </c>
      <c r="C154" s="432" t="s">
        <v>2142</v>
      </c>
      <c r="D154" s="433" t="s">
        <v>2143</v>
      </c>
      <c r="E154" s="434"/>
      <c r="F154" s="435"/>
      <c r="G154" s="436">
        <v>-41849039.342</v>
      </c>
      <c r="H154" s="436">
        <f t="shared" si="2"/>
        <v>41849.039342000004</v>
      </c>
      <c r="I154" s="437"/>
      <c r="J154" s="437"/>
      <c r="K154" s="437"/>
      <c r="L154" s="437"/>
      <c r="M154" s="437"/>
      <c r="N154" s="437"/>
      <c r="O154" s="437"/>
      <c r="P154" s="437"/>
      <c r="Q154" s="437"/>
      <c r="R154" s="437"/>
      <c r="S154" s="437"/>
    </row>
    <row r="155" spans="1:19" ht="12.75" customHeight="1" x14ac:dyDescent="0.25">
      <c r="A155" s="431">
        <v>5</v>
      </c>
      <c r="B155" s="431">
        <v>0</v>
      </c>
      <c r="C155" s="432" t="s">
        <v>2144</v>
      </c>
      <c r="D155" s="433" t="s">
        <v>195</v>
      </c>
      <c r="E155" s="434"/>
      <c r="F155" s="435"/>
      <c r="G155" s="436">
        <v>-2475710.6390499999</v>
      </c>
      <c r="H155" s="436">
        <f t="shared" si="2"/>
        <v>2475.7106390499998</v>
      </c>
      <c r="I155" s="437"/>
      <c r="J155" s="437"/>
      <c r="K155" s="437"/>
      <c r="L155" s="437"/>
      <c r="M155" s="437"/>
      <c r="N155" s="437"/>
      <c r="O155" s="437"/>
      <c r="P155" s="437"/>
      <c r="Q155" s="437"/>
      <c r="R155" s="437"/>
      <c r="S155" s="437"/>
    </row>
    <row r="156" spans="1:19" ht="12.75" customHeight="1" x14ac:dyDescent="0.25">
      <c r="A156" s="431">
        <v>5</v>
      </c>
      <c r="B156" s="431">
        <v>0</v>
      </c>
      <c r="C156" s="432" t="s">
        <v>2145</v>
      </c>
      <c r="D156" s="433" t="s">
        <v>196</v>
      </c>
      <c r="E156" s="434"/>
      <c r="F156" s="435"/>
      <c r="G156" s="436">
        <v>-336585.15769999998</v>
      </c>
      <c r="H156" s="436">
        <f t="shared" si="2"/>
        <v>336.58515769999997</v>
      </c>
      <c r="I156" s="437"/>
      <c r="J156" s="437"/>
      <c r="K156" s="437"/>
      <c r="L156" s="437"/>
      <c r="M156" s="437"/>
      <c r="N156" s="437"/>
      <c r="O156" s="437"/>
      <c r="P156" s="437"/>
      <c r="Q156" s="437"/>
      <c r="R156" s="437"/>
      <c r="S156" s="437"/>
    </row>
    <row r="157" spans="1:19" ht="12.75" customHeight="1" x14ac:dyDescent="0.25">
      <c r="A157" s="431">
        <v>5</v>
      </c>
      <c r="B157" s="431">
        <v>0</v>
      </c>
      <c r="C157" s="432" t="s">
        <v>2146</v>
      </c>
      <c r="D157" s="433" t="s">
        <v>2147</v>
      </c>
      <c r="E157" s="434"/>
      <c r="F157" s="435"/>
      <c r="G157" s="436">
        <v>-888810.43350000004</v>
      </c>
      <c r="H157" s="436">
        <f t="shared" si="2"/>
        <v>888.81043350000004</v>
      </c>
      <c r="I157" s="437"/>
      <c r="J157" s="437"/>
      <c r="K157" s="437"/>
      <c r="L157" s="437"/>
      <c r="M157" s="437"/>
      <c r="N157" s="437"/>
      <c r="O157" s="437"/>
      <c r="P157" s="437"/>
      <c r="Q157" s="437"/>
      <c r="R157" s="437"/>
      <c r="S157" s="437"/>
    </row>
    <row r="158" spans="1:19" ht="12.75" customHeight="1" x14ac:dyDescent="0.25">
      <c r="A158" s="431">
        <v>5</v>
      </c>
      <c r="B158" s="431">
        <v>0</v>
      </c>
      <c r="C158" s="432" t="s">
        <v>2148</v>
      </c>
      <c r="D158" s="433" t="s">
        <v>198</v>
      </c>
      <c r="E158" s="434"/>
      <c r="F158" s="435"/>
      <c r="G158" s="436">
        <v>-1593740.0545000001</v>
      </c>
      <c r="H158" s="436">
        <f t="shared" si="2"/>
        <v>1593.7400545</v>
      </c>
      <c r="I158" s="437"/>
      <c r="J158" s="437"/>
      <c r="K158" s="437"/>
      <c r="L158" s="437"/>
      <c r="M158" s="437"/>
      <c r="N158" s="437"/>
      <c r="O158" s="437"/>
      <c r="P158" s="437"/>
      <c r="Q158" s="437"/>
      <c r="R158" s="437"/>
      <c r="S158" s="437"/>
    </row>
    <row r="159" spans="1:19" ht="12.75" customHeight="1" x14ac:dyDescent="0.25">
      <c r="A159" s="431">
        <v>5</v>
      </c>
      <c r="B159" s="431">
        <v>0</v>
      </c>
      <c r="C159" s="432" t="s">
        <v>2149</v>
      </c>
      <c r="D159" s="433" t="s">
        <v>199</v>
      </c>
      <c r="E159" s="434"/>
      <c r="F159" s="435"/>
      <c r="G159" s="436">
        <v>-11220510.42475</v>
      </c>
      <c r="H159" s="436">
        <f t="shared" si="2"/>
        <v>11220.51042475</v>
      </c>
      <c r="I159" s="437"/>
      <c r="J159" s="437"/>
      <c r="K159" s="437"/>
      <c r="L159" s="437"/>
      <c r="M159" s="437"/>
      <c r="N159" s="437"/>
      <c r="O159" s="437"/>
      <c r="P159" s="437"/>
      <c r="Q159" s="437"/>
      <c r="R159" s="437"/>
      <c r="S159" s="437"/>
    </row>
    <row r="160" spans="1:19" ht="12.75" customHeight="1" x14ac:dyDescent="0.25">
      <c r="A160" s="431">
        <v>3</v>
      </c>
      <c r="B160" s="431">
        <v>2</v>
      </c>
      <c r="C160" s="432" t="s">
        <v>205</v>
      </c>
      <c r="D160" s="433" t="s">
        <v>1952</v>
      </c>
      <c r="E160" s="434"/>
      <c r="F160" s="435"/>
      <c r="G160" s="436">
        <v>123569000</v>
      </c>
      <c r="H160" s="436">
        <f t="shared" si="2"/>
        <v>-123569</v>
      </c>
      <c r="I160" s="437"/>
      <c r="J160" s="437"/>
      <c r="K160" s="437"/>
      <c r="L160" s="437"/>
      <c r="M160" s="437"/>
      <c r="N160" s="437"/>
      <c r="O160" s="437"/>
      <c r="P160" s="437"/>
      <c r="Q160" s="437"/>
      <c r="R160" s="437"/>
      <c r="S160" s="437"/>
    </row>
    <row r="161" spans="1:19" ht="12.75" customHeight="1" x14ac:dyDescent="0.25">
      <c r="A161" s="431">
        <v>4</v>
      </c>
      <c r="B161" s="431">
        <v>1</v>
      </c>
      <c r="C161" s="432" t="s">
        <v>2150</v>
      </c>
      <c r="D161" s="433" t="s">
        <v>207</v>
      </c>
      <c r="E161" s="434"/>
      <c r="F161" s="435"/>
      <c r="G161" s="436">
        <v>114318000</v>
      </c>
      <c r="H161" s="436">
        <f t="shared" si="2"/>
        <v>-114318</v>
      </c>
      <c r="I161" s="437"/>
      <c r="J161" s="437"/>
      <c r="K161" s="437"/>
      <c r="L161" s="437"/>
      <c r="M161" s="437"/>
      <c r="N161" s="437"/>
      <c r="O161" s="437"/>
      <c r="P161" s="437"/>
      <c r="Q161" s="437"/>
      <c r="R161" s="437"/>
      <c r="S161" s="437"/>
    </row>
    <row r="162" spans="1:19" ht="12.75" customHeight="1" x14ac:dyDescent="0.25">
      <c r="A162" s="431">
        <v>5</v>
      </c>
      <c r="B162" s="431">
        <v>0</v>
      </c>
      <c r="C162" s="432" t="s">
        <v>2151</v>
      </c>
      <c r="D162" s="433" t="s">
        <v>209</v>
      </c>
      <c r="E162" s="434"/>
      <c r="F162" s="435"/>
      <c r="G162" s="436">
        <v>990000</v>
      </c>
      <c r="H162" s="436">
        <f t="shared" si="2"/>
        <v>-990</v>
      </c>
      <c r="I162" s="437"/>
      <c r="J162" s="437"/>
      <c r="K162" s="437"/>
      <c r="L162" s="437"/>
      <c r="M162" s="437"/>
      <c r="N162" s="437"/>
      <c r="O162" s="437"/>
      <c r="P162" s="437"/>
      <c r="Q162" s="437"/>
      <c r="R162" s="437"/>
      <c r="S162" s="437"/>
    </row>
    <row r="163" spans="1:19" ht="12.75" customHeight="1" x14ac:dyDescent="0.25">
      <c r="A163" s="431">
        <v>5</v>
      </c>
      <c r="B163" s="431">
        <v>0</v>
      </c>
      <c r="C163" s="432" t="s">
        <v>2152</v>
      </c>
      <c r="D163" s="433" t="s">
        <v>210</v>
      </c>
      <c r="E163" s="434"/>
      <c r="F163" s="435"/>
      <c r="G163" s="436">
        <v>70359000</v>
      </c>
      <c r="H163" s="436">
        <f t="shared" si="2"/>
        <v>-70359</v>
      </c>
      <c r="I163" s="437"/>
      <c r="J163" s="437"/>
      <c r="K163" s="437"/>
      <c r="L163" s="437"/>
      <c r="M163" s="437"/>
      <c r="N163" s="437"/>
      <c r="O163" s="437"/>
      <c r="P163" s="437"/>
      <c r="Q163" s="437"/>
      <c r="R163" s="437"/>
      <c r="S163" s="437"/>
    </row>
    <row r="164" spans="1:19" ht="12.75" customHeight="1" x14ac:dyDescent="0.25">
      <c r="A164" s="431">
        <v>5</v>
      </c>
      <c r="B164" s="431">
        <v>0</v>
      </c>
      <c r="C164" s="432" t="s">
        <v>2153</v>
      </c>
      <c r="D164" s="433" t="s">
        <v>211</v>
      </c>
      <c r="E164" s="434"/>
      <c r="F164" s="435"/>
      <c r="G164" s="436">
        <v>42969000</v>
      </c>
      <c r="H164" s="436">
        <f t="shared" si="2"/>
        <v>-42969</v>
      </c>
      <c r="I164" s="437"/>
      <c r="J164" s="437"/>
      <c r="K164" s="437"/>
      <c r="L164" s="437"/>
      <c r="M164" s="437"/>
      <c r="N164" s="437"/>
      <c r="O164" s="437"/>
      <c r="P164" s="437"/>
      <c r="Q164" s="437"/>
      <c r="R164" s="437"/>
      <c r="S164" s="437"/>
    </row>
    <row r="165" spans="1:19" ht="12.75" customHeight="1" x14ac:dyDescent="0.25">
      <c r="A165" s="431">
        <v>4</v>
      </c>
      <c r="B165" s="431">
        <v>1</v>
      </c>
      <c r="C165" s="432" t="s">
        <v>2154</v>
      </c>
      <c r="D165" s="433" t="s">
        <v>212</v>
      </c>
      <c r="E165" s="434"/>
      <c r="F165" s="435"/>
      <c r="G165" s="436">
        <v>9251000</v>
      </c>
      <c r="H165" s="436">
        <f t="shared" si="2"/>
        <v>-9251</v>
      </c>
      <c r="I165" s="437"/>
      <c r="J165" s="437"/>
      <c r="K165" s="437"/>
      <c r="L165" s="437"/>
      <c r="M165" s="437"/>
      <c r="N165" s="437"/>
      <c r="O165" s="437"/>
      <c r="P165" s="437"/>
      <c r="Q165" s="437"/>
      <c r="R165" s="437"/>
      <c r="S165" s="437"/>
    </row>
    <row r="166" spans="1:19" ht="12.75" customHeight="1" x14ac:dyDescent="0.25">
      <c r="A166" s="431">
        <v>5</v>
      </c>
      <c r="B166" s="431">
        <v>0</v>
      </c>
      <c r="C166" s="432" t="s">
        <v>2155</v>
      </c>
      <c r="D166" s="433" t="s">
        <v>213</v>
      </c>
      <c r="E166" s="434"/>
      <c r="F166" s="435"/>
      <c r="G166" s="436">
        <v>151000</v>
      </c>
      <c r="H166" s="436">
        <f t="shared" si="2"/>
        <v>-151</v>
      </c>
      <c r="I166" s="437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</row>
    <row r="167" spans="1:19" ht="12.75" customHeight="1" x14ac:dyDescent="0.25">
      <c r="A167" s="431">
        <v>5</v>
      </c>
      <c r="B167" s="431">
        <v>0</v>
      </c>
      <c r="C167" s="432" t="s">
        <v>2156</v>
      </c>
      <c r="D167" s="433" t="s">
        <v>214</v>
      </c>
      <c r="E167" s="434"/>
      <c r="F167" s="435"/>
      <c r="G167" s="436">
        <v>8500000</v>
      </c>
      <c r="H167" s="436">
        <f t="shared" si="2"/>
        <v>-8500</v>
      </c>
      <c r="I167" s="437"/>
      <c r="J167" s="437"/>
      <c r="K167" s="437"/>
      <c r="L167" s="437"/>
      <c r="M167" s="437"/>
      <c r="N167" s="437"/>
      <c r="O167" s="437"/>
      <c r="P167" s="437"/>
      <c r="Q167" s="437"/>
      <c r="R167" s="437"/>
      <c r="S167" s="437"/>
    </row>
    <row r="168" spans="1:19" ht="12.75" customHeight="1" x14ac:dyDescent="0.25">
      <c r="A168" s="431">
        <v>5</v>
      </c>
      <c r="B168" s="431">
        <v>0</v>
      </c>
      <c r="C168" s="432" t="s">
        <v>2157</v>
      </c>
      <c r="D168" s="433" t="s">
        <v>2158</v>
      </c>
      <c r="E168" s="434"/>
      <c r="F168" s="435"/>
      <c r="G168" s="436">
        <v>600000</v>
      </c>
      <c r="H168" s="436">
        <f t="shared" si="2"/>
        <v>-600</v>
      </c>
      <c r="I168" s="437"/>
      <c r="J168" s="437"/>
      <c r="K168" s="437"/>
      <c r="L168" s="437"/>
      <c r="M168" s="437"/>
      <c r="N168" s="437"/>
      <c r="O168" s="437"/>
      <c r="P168" s="437"/>
      <c r="Q168" s="437"/>
      <c r="R168" s="437"/>
      <c r="S168" s="437"/>
    </row>
    <row r="169" spans="1:19" ht="12.75" customHeight="1" x14ac:dyDescent="0.25">
      <c r="A169" s="431">
        <v>2</v>
      </c>
      <c r="B169" s="431">
        <v>3</v>
      </c>
      <c r="C169" s="432" t="s">
        <v>218</v>
      </c>
      <c r="D169" s="433" t="s">
        <v>219</v>
      </c>
      <c r="E169" s="434"/>
      <c r="F169" s="435"/>
      <c r="G169" s="436">
        <v>-374588680.91000003</v>
      </c>
      <c r="H169" s="436">
        <f t="shared" si="2"/>
        <v>374588.68091000005</v>
      </c>
      <c r="I169" s="437"/>
      <c r="J169" s="437"/>
      <c r="K169" s="437"/>
      <c r="L169" s="437"/>
      <c r="M169" s="437"/>
      <c r="N169" s="437"/>
      <c r="O169" s="437"/>
      <c r="P169" s="437"/>
      <c r="Q169" s="437"/>
      <c r="R169" s="437"/>
      <c r="S169" s="437"/>
    </row>
    <row r="170" spans="1:19" ht="12.75" customHeight="1" x14ac:dyDescent="0.25">
      <c r="A170" s="431">
        <v>3</v>
      </c>
      <c r="B170" s="431">
        <v>2</v>
      </c>
      <c r="C170" s="432" t="s">
        <v>220</v>
      </c>
      <c r="D170" s="433" t="s">
        <v>221</v>
      </c>
      <c r="E170" s="434"/>
      <c r="F170" s="435"/>
      <c r="G170" s="436">
        <v>-86605000</v>
      </c>
      <c r="H170" s="436">
        <f t="shared" si="2"/>
        <v>86605</v>
      </c>
      <c r="I170" s="437"/>
      <c r="J170" s="437"/>
      <c r="K170" s="437"/>
      <c r="L170" s="437"/>
      <c r="M170" s="437"/>
      <c r="N170" s="437"/>
      <c r="O170" s="437"/>
      <c r="P170" s="437"/>
      <c r="Q170" s="437"/>
      <c r="R170" s="437"/>
      <c r="S170" s="437"/>
    </row>
    <row r="171" spans="1:19" ht="12.75" customHeight="1" x14ac:dyDescent="0.25">
      <c r="A171" s="431">
        <v>4</v>
      </c>
      <c r="B171" s="431">
        <v>1</v>
      </c>
      <c r="C171" s="432" t="s">
        <v>2159</v>
      </c>
      <c r="D171" s="433" t="s">
        <v>224</v>
      </c>
      <c r="E171" s="434"/>
      <c r="F171" s="435"/>
      <c r="G171" s="436">
        <v>-86605000</v>
      </c>
      <c r="H171" s="436">
        <f t="shared" si="2"/>
        <v>86605</v>
      </c>
      <c r="I171" s="437"/>
      <c r="J171" s="437"/>
      <c r="K171" s="437"/>
      <c r="L171" s="437"/>
      <c r="M171" s="437"/>
      <c r="N171" s="437"/>
      <c r="O171" s="437"/>
      <c r="P171" s="437"/>
      <c r="Q171" s="437"/>
      <c r="R171" s="437"/>
      <c r="S171" s="437"/>
    </row>
    <row r="172" spans="1:19" ht="12.75" customHeight="1" x14ac:dyDescent="0.25">
      <c r="A172" s="431">
        <v>5</v>
      </c>
      <c r="B172" s="431">
        <v>0</v>
      </c>
      <c r="C172" s="432" t="s">
        <v>2160</v>
      </c>
      <c r="D172" s="433" t="s">
        <v>225</v>
      </c>
      <c r="E172" s="434"/>
      <c r="F172" s="435"/>
      <c r="G172" s="436">
        <v>-28700000</v>
      </c>
      <c r="H172" s="436">
        <f t="shared" si="2"/>
        <v>28700</v>
      </c>
      <c r="I172" s="437"/>
      <c r="J172" s="437"/>
      <c r="K172" s="437"/>
      <c r="L172" s="437"/>
      <c r="M172" s="437"/>
      <c r="N172" s="437"/>
      <c r="O172" s="437"/>
      <c r="P172" s="437"/>
      <c r="Q172" s="437"/>
      <c r="R172" s="437"/>
      <c r="S172" s="437"/>
    </row>
    <row r="173" spans="1:19" ht="12.75" customHeight="1" x14ac:dyDescent="0.25">
      <c r="A173" s="431">
        <v>5</v>
      </c>
      <c r="B173" s="431">
        <v>0</v>
      </c>
      <c r="C173" s="432" t="s">
        <v>2161</v>
      </c>
      <c r="D173" s="433" t="s">
        <v>226</v>
      </c>
      <c r="E173" s="434"/>
      <c r="F173" s="435"/>
      <c r="G173" s="436">
        <v>-500000</v>
      </c>
      <c r="H173" s="436">
        <f t="shared" si="2"/>
        <v>500</v>
      </c>
      <c r="I173" s="437"/>
      <c r="J173" s="437"/>
      <c r="K173" s="437"/>
      <c r="L173" s="437"/>
      <c r="M173" s="437"/>
      <c r="N173" s="437"/>
      <c r="O173" s="437"/>
      <c r="P173" s="437"/>
      <c r="Q173" s="437"/>
      <c r="R173" s="437"/>
      <c r="S173" s="437"/>
    </row>
    <row r="174" spans="1:19" ht="12.75" customHeight="1" x14ac:dyDescent="0.25">
      <c r="A174" s="431">
        <v>5</v>
      </c>
      <c r="B174" s="431">
        <v>0</v>
      </c>
      <c r="C174" s="432" t="s">
        <v>2162</v>
      </c>
      <c r="D174" s="433" t="s">
        <v>227</v>
      </c>
      <c r="E174" s="434"/>
      <c r="F174" s="435"/>
      <c r="G174" s="436">
        <v>-500000</v>
      </c>
      <c r="H174" s="436">
        <f t="shared" si="2"/>
        <v>500</v>
      </c>
      <c r="I174" s="437"/>
      <c r="J174" s="437"/>
      <c r="K174" s="437"/>
      <c r="L174" s="437"/>
      <c r="M174" s="437"/>
      <c r="N174" s="437"/>
      <c r="O174" s="437"/>
      <c r="P174" s="437"/>
      <c r="Q174" s="437"/>
      <c r="R174" s="437"/>
      <c r="S174" s="437"/>
    </row>
    <row r="175" spans="1:19" ht="12.75" customHeight="1" x14ac:dyDescent="0.25">
      <c r="A175" s="431">
        <v>5</v>
      </c>
      <c r="B175" s="431">
        <v>0</v>
      </c>
      <c r="C175" s="432" t="s">
        <v>2163</v>
      </c>
      <c r="D175" s="433" t="s">
        <v>228</v>
      </c>
      <c r="E175" s="434"/>
      <c r="F175" s="435"/>
      <c r="G175" s="436">
        <v>-18630000</v>
      </c>
      <c r="H175" s="436">
        <f t="shared" si="2"/>
        <v>18630</v>
      </c>
      <c r="I175" s="437"/>
      <c r="J175" s="437"/>
      <c r="K175" s="437"/>
      <c r="L175" s="437"/>
      <c r="M175" s="437"/>
      <c r="N175" s="437"/>
      <c r="O175" s="437"/>
      <c r="P175" s="437"/>
      <c r="Q175" s="437"/>
      <c r="R175" s="437"/>
      <c r="S175" s="437"/>
    </row>
    <row r="176" spans="1:19" ht="12.75" customHeight="1" x14ac:dyDescent="0.25">
      <c r="A176" s="431">
        <v>5</v>
      </c>
      <c r="B176" s="431">
        <v>0</v>
      </c>
      <c r="C176" s="432" t="s">
        <v>2164</v>
      </c>
      <c r="D176" s="433" t="s">
        <v>229</v>
      </c>
      <c r="E176" s="434"/>
      <c r="F176" s="435"/>
      <c r="G176" s="436">
        <v>-11000000</v>
      </c>
      <c r="H176" s="436">
        <f t="shared" si="2"/>
        <v>11000</v>
      </c>
      <c r="I176" s="437"/>
      <c r="J176" s="437"/>
      <c r="K176" s="437"/>
      <c r="L176" s="437"/>
      <c r="M176" s="437"/>
      <c r="N176" s="437"/>
      <c r="O176" s="437"/>
      <c r="P176" s="437"/>
      <c r="Q176" s="437"/>
      <c r="R176" s="437"/>
      <c r="S176" s="437"/>
    </row>
    <row r="177" spans="1:19" ht="12.75" customHeight="1" x14ac:dyDescent="0.25">
      <c r="A177" s="431">
        <v>5</v>
      </c>
      <c r="B177" s="431">
        <v>0</v>
      </c>
      <c r="C177" s="432" t="s">
        <v>2165</v>
      </c>
      <c r="D177" s="433" t="s">
        <v>230</v>
      </c>
      <c r="E177" s="434"/>
      <c r="F177" s="435"/>
      <c r="G177" s="436">
        <v>-700000</v>
      </c>
      <c r="H177" s="436">
        <f t="shared" si="2"/>
        <v>700</v>
      </c>
      <c r="I177" s="437"/>
      <c r="J177" s="437"/>
      <c r="K177" s="437"/>
      <c r="L177" s="437"/>
      <c r="M177" s="437"/>
      <c r="N177" s="437"/>
      <c r="O177" s="437"/>
      <c r="P177" s="437"/>
      <c r="Q177" s="437"/>
      <c r="R177" s="437"/>
      <c r="S177" s="437"/>
    </row>
    <row r="178" spans="1:19" ht="12.75" customHeight="1" x14ac:dyDescent="0.25">
      <c r="A178" s="431">
        <v>5</v>
      </c>
      <c r="B178" s="431">
        <v>0</v>
      </c>
      <c r="C178" s="432" t="s">
        <v>2166</v>
      </c>
      <c r="D178" s="433" t="s">
        <v>231</v>
      </c>
      <c r="E178" s="434"/>
      <c r="F178" s="435"/>
      <c r="G178" s="436">
        <v>-2900000</v>
      </c>
      <c r="H178" s="436">
        <f t="shared" si="2"/>
        <v>2900</v>
      </c>
      <c r="I178" s="437"/>
      <c r="J178" s="437"/>
      <c r="K178" s="437"/>
      <c r="L178" s="437"/>
      <c r="M178" s="437"/>
      <c r="N178" s="437"/>
      <c r="O178" s="437"/>
      <c r="P178" s="437"/>
      <c r="Q178" s="437"/>
      <c r="R178" s="437"/>
      <c r="S178" s="437"/>
    </row>
    <row r="179" spans="1:19" ht="12.75" customHeight="1" x14ac:dyDescent="0.25">
      <c r="A179" s="431">
        <v>5</v>
      </c>
      <c r="B179" s="431">
        <v>0</v>
      </c>
      <c r="C179" s="432" t="s">
        <v>2167</v>
      </c>
      <c r="D179" s="433" t="s">
        <v>232</v>
      </c>
      <c r="E179" s="434"/>
      <c r="F179" s="435"/>
      <c r="G179" s="436">
        <v>-1500000</v>
      </c>
      <c r="H179" s="436">
        <f t="shared" si="2"/>
        <v>1500</v>
      </c>
      <c r="I179" s="437"/>
      <c r="J179" s="437"/>
      <c r="K179" s="437"/>
      <c r="L179" s="437"/>
      <c r="M179" s="437"/>
      <c r="N179" s="437"/>
      <c r="O179" s="437"/>
      <c r="P179" s="437"/>
      <c r="Q179" s="437"/>
      <c r="R179" s="437"/>
      <c r="S179" s="437"/>
    </row>
    <row r="180" spans="1:19" ht="12.75" customHeight="1" x14ac:dyDescent="0.25">
      <c r="A180" s="431">
        <v>5</v>
      </c>
      <c r="B180" s="431">
        <v>0</v>
      </c>
      <c r="C180" s="432" t="s">
        <v>2168</v>
      </c>
      <c r="D180" s="433" t="s">
        <v>233</v>
      </c>
      <c r="E180" s="434"/>
      <c r="F180" s="435"/>
      <c r="G180" s="436">
        <v>-1275000</v>
      </c>
      <c r="H180" s="436">
        <f t="shared" si="2"/>
        <v>1275</v>
      </c>
      <c r="I180" s="437"/>
      <c r="J180" s="437"/>
      <c r="K180" s="437"/>
      <c r="L180" s="437"/>
      <c r="M180" s="437"/>
      <c r="N180" s="437"/>
      <c r="O180" s="437"/>
      <c r="P180" s="437"/>
      <c r="Q180" s="437"/>
      <c r="R180" s="437"/>
      <c r="S180" s="437"/>
    </row>
    <row r="181" spans="1:19" ht="12.75" customHeight="1" x14ac:dyDescent="0.25">
      <c r="A181" s="431">
        <v>5</v>
      </c>
      <c r="B181" s="431">
        <v>0</v>
      </c>
      <c r="C181" s="432" t="s">
        <v>2169</v>
      </c>
      <c r="D181" s="433" t="s">
        <v>2170</v>
      </c>
      <c r="E181" s="434"/>
      <c r="F181" s="435"/>
      <c r="G181" s="436">
        <v>-300000</v>
      </c>
      <c r="H181" s="436">
        <f t="shared" si="2"/>
        <v>300</v>
      </c>
      <c r="I181" s="437"/>
      <c r="J181" s="437"/>
      <c r="K181" s="437"/>
      <c r="L181" s="437"/>
      <c r="M181" s="437"/>
      <c r="N181" s="437"/>
      <c r="O181" s="437"/>
      <c r="P181" s="437"/>
      <c r="Q181" s="437"/>
      <c r="R181" s="437"/>
      <c r="S181" s="437"/>
    </row>
    <row r="182" spans="1:19" ht="12.75" customHeight="1" x14ac:dyDescent="0.25">
      <c r="A182" s="431">
        <v>5</v>
      </c>
      <c r="B182" s="431">
        <v>0</v>
      </c>
      <c r="C182" s="432" t="s">
        <v>2171</v>
      </c>
      <c r="D182" s="433" t="s">
        <v>2172</v>
      </c>
      <c r="E182" s="434"/>
      <c r="F182" s="435"/>
      <c r="G182" s="436">
        <v>-18100000</v>
      </c>
      <c r="H182" s="436">
        <f t="shared" si="2"/>
        <v>18100</v>
      </c>
      <c r="I182" s="437"/>
      <c r="J182" s="437"/>
      <c r="K182" s="437"/>
      <c r="L182" s="437"/>
      <c r="M182" s="437"/>
      <c r="N182" s="437"/>
      <c r="O182" s="437"/>
      <c r="P182" s="437"/>
      <c r="Q182" s="437"/>
      <c r="R182" s="437"/>
      <c r="S182" s="437"/>
    </row>
    <row r="183" spans="1:19" ht="12.75" customHeight="1" x14ac:dyDescent="0.25">
      <c r="A183" s="431">
        <v>5</v>
      </c>
      <c r="B183" s="431">
        <v>0</v>
      </c>
      <c r="C183" s="432" t="s">
        <v>2173</v>
      </c>
      <c r="D183" s="433" t="s">
        <v>2174</v>
      </c>
      <c r="E183" s="434"/>
      <c r="F183" s="435"/>
      <c r="G183" s="436">
        <v>-2500000</v>
      </c>
      <c r="H183" s="436">
        <f t="shared" si="2"/>
        <v>2500</v>
      </c>
      <c r="I183" s="437"/>
      <c r="J183" s="437"/>
      <c r="K183" s="437"/>
      <c r="L183" s="437"/>
      <c r="M183" s="437"/>
      <c r="N183" s="437"/>
      <c r="O183" s="437"/>
      <c r="P183" s="437"/>
      <c r="Q183" s="437"/>
      <c r="R183" s="437"/>
      <c r="S183" s="437"/>
    </row>
    <row r="184" spans="1:19" ht="12.75" customHeight="1" x14ac:dyDescent="0.25">
      <c r="A184" s="431">
        <v>3</v>
      </c>
      <c r="B184" s="431">
        <v>2</v>
      </c>
      <c r="C184" s="432" t="s">
        <v>237</v>
      </c>
      <c r="D184" s="433" t="s">
        <v>238</v>
      </c>
      <c r="E184" s="434"/>
      <c r="F184" s="435"/>
      <c r="G184" s="436">
        <v>-9544503</v>
      </c>
      <c r="H184" s="436">
        <f t="shared" si="2"/>
        <v>9544.5030000000006</v>
      </c>
      <c r="I184" s="437"/>
      <c r="J184" s="437"/>
      <c r="K184" s="437"/>
      <c r="L184" s="437"/>
      <c r="M184" s="437"/>
      <c r="N184" s="437"/>
      <c r="O184" s="437"/>
      <c r="P184" s="437"/>
      <c r="Q184" s="437"/>
      <c r="R184" s="437"/>
      <c r="S184" s="437"/>
    </row>
    <row r="185" spans="1:19" ht="12.75" customHeight="1" x14ac:dyDescent="0.25">
      <c r="A185" s="431">
        <v>4</v>
      </c>
      <c r="B185" s="431">
        <v>1</v>
      </c>
      <c r="C185" s="432" t="s">
        <v>2175</v>
      </c>
      <c r="D185" s="433" t="s">
        <v>239</v>
      </c>
      <c r="E185" s="434"/>
      <c r="F185" s="435"/>
      <c r="G185" s="436">
        <v>-3890000</v>
      </c>
      <c r="H185" s="436">
        <f t="shared" si="2"/>
        <v>3890</v>
      </c>
      <c r="I185" s="437"/>
      <c r="J185" s="437"/>
      <c r="K185" s="437"/>
      <c r="L185" s="437"/>
      <c r="M185" s="437"/>
      <c r="N185" s="437"/>
      <c r="O185" s="437"/>
      <c r="P185" s="437"/>
      <c r="Q185" s="437"/>
      <c r="R185" s="437"/>
      <c r="S185" s="437"/>
    </row>
    <row r="186" spans="1:19" ht="12.75" customHeight="1" x14ac:dyDescent="0.25">
      <c r="A186" s="431">
        <v>5</v>
      </c>
      <c r="B186" s="431">
        <v>0</v>
      </c>
      <c r="C186" s="432" t="s">
        <v>2176</v>
      </c>
      <c r="D186" s="433" t="s">
        <v>240</v>
      </c>
      <c r="E186" s="434"/>
      <c r="F186" s="435"/>
      <c r="G186" s="436">
        <v>-3890000</v>
      </c>
      <c r="H186" s="436">
        <f t="shared" si="2"/>
        <v>3890</v>
      </c>
      <c r="I186" s="437"/>
      <c r="J186" s="437"/>
      <c r="K186" s="437"/>
      <c r="L186" s="437"/>
      <c r="M186" s="437"/>
      <c r="N186" s="437"/>
      <c r="O186" s="437"/>
      <c r="P186" s="437"/>
      <c r="Q186" s="437"/>
      <c r="R186" s="437"/>
      <c r="S186" s="437"/>
    </row>
    <row r="187" spans="1:19" ht="12.75" customHeight="1" x14ac:dyDescent="0.25">
      <c r="A187" s="431">
        <v>4</v>
      </c>
      <c r="B187" s="431">
        <v>1</v>
      </c>
      <c r="C187" s="432" t="s">
        <v>2177</v>
      </c>
      <c r="D187" s="433" t="s">
        <v>242</v>
      </c>
      <c r="E187" s="434"/>
      <c r="F187" s="435"/>
      <c r="G187" s="436">
        <v>-646503</v>
      </c>
      <c r="H187" s="436">
        <f t="shared" si="2"/>
        <v>646.50300000000004</v>
      </c>
      <c r="I187" s="437"/>
      <c r="J187" s="437"/>
      <c r="K187" s="437"/>
      <c r="L187" s="437"/>
      <c r="M187" s="437"/>
      <c r="N187" s="437"/>
      <c r="O187" s="437"/>
      <c r="P187" s="437"/>
      <c r="Q187" s="437"/>
      <c r="R187" s="437"/>
      <c r="S187" s="437"/>
    </row>
    <row r="188" spans="1:19" ht="12.75" customHeight="1" x14ac:dyDescent="0.25">
      <c r="A188" s="431">
        <v>5</v>
      </c>
      <c r="B188" s="431">
        <v>0</v>
      </c>
      <c r="C188" s="432" t="s">
        <v>2178</v>
      </c>
      <c r="D188" s="433" t="s">
        <v>243</v>
      </c>
      <c r="E188" s="434"/>
      <c r="F188" s="435"/>
      <c r="G188" s="436">
        <v>-646503</v>
      </c>
      <c r="H188" s="436">
        <f t="shared" si="2"/>
        <v>646.50300000000004</v>
      </c>
      <c r="I188" s="437"/>
      <c r="J188" s="437"/>
      <c r="K188" s="437"/>
      <c r="L188" s="437"/>
      <c r="M188" s="437"/>
      <c r="N188" s="437"/>
      <c r="O188" s="437"/>
      <c r="P188" s="437"/>
      <c r="Q188" s="437"/>
      <c r="R188" s="437"/>
      <c r="S188" s="437"/>
    </row>
    <row r="189" spans="1:19" ht="12.75" customHeight="1" x14ac:dyDescent="0.25">
      <c r="A189" s="431">
        <v>4</v>
      </c>
      <c r="B189" s="431">
        <v>1</v>
      </c>
      <c r="C189" s="432" t="s">
        <v>2179</v>
      </c>
      <c r="D189" s="433" t="s">
        <v>244</v>
      </c>
      <c r="E189" s="434"/>
      <c r="F189" s="435"/>
      <c r="G189" s="436">
        <v>-4008000</v>
      </c>
      <c r="H189" s="436">
        <f t="shared" si="2"/>
        <v>4008</v>
      </c>
      <c r="I189" s="437"/>
      <c r="J189" s="437"/>
      <c r="K189" s="437"/>
      <c r="L189" s="437"/>
      <c r="M189" s="437"/>
      <c r="N189" s="437"/>
      <c r="O189" s="437"/>
      <c r="P189" s="437"/>
      <c r="Q189" s="437"/>
      <c r="R189" s="437"/>
      <c r="S189" s="437"/>
    </row>
    <row r="190" spans="1:19" ht="12.75" customHeight="1" x14ac:dyDescent="0.25">
      <c r="A190" s="431">
        <v>5</v>
      </c>
      <c r="B190" s="431">
        <v>0</v>
      </c>
      <c r="C190" s="432" t="s">
        <v>2180</v>
      </c>
      <c r="D190" s="433" t="s">
        <v>245</v>
      </c>
      <c r="E190" s="434"/>
      <c r="F190" s="435"/>
      <c r="G190" s="436">
        <v>-4008000</v>
      </c>
      <c r="H190" s="436">
        <f t="shared" si="2"/>
        <v>4008</v>
      </c>
      <c r="I190" s="437"/>
      <c r="J190" s="437"/>
      <c r="K190" s="437"/>
      <c r="L190" s="437"/>
      <c r="M190" s="437"/>
      <c r="N190" s="437"/>
      <c r="O190" s="437"/>
      <c r="P190" s="437"/>
      <c r="Q190" s="437"/>
      <c r="R190" s="437"/>
      <c r="S190" s="437"/>
    </row>
    <row r="191" spans="1:19" ht="12.75" customHeight="1" x14ac:dyDescent="0.25">
      <c r="A191" s="431">
        <v>4</v>
      </c>
      <c r="B191" s="431">
        <v>1</v>
      </c>
      <c r="C191" s="432" t="s">
        <v>2181</v>
      </c>
      <c r="D191" s="433" t="s">
        <v>247</v>
      </c>
      <c r="E191" s="434"/>
      <c r="F191" s="435"/>
      <c r="G191" s="436">
        <v>-1000000</v>
      </c>
      <c r="H191" s="436">
        <f t="shared" si="2"/>
        <v>1000</v>
      </c>
      <c r="I191" s="437"/>
      <c r="J191" s="437"/>
      <c r="K191" s="437"/>
      <c r="L191" s="437"/>
      <c r="M191" s="437"/>
      <c r="N191" s="437"/>
      <c r="O191" s="437"/>
      <c r="P191" s="437"/>
      <c r="Q191" s="437"/>
      <c r="R191" s="437"/>
      <c r="S191" s="437"/>
    </row>
    <row r="192" spans="1:19" ht="12.75" customHeight="1" x14ac:dyDescent="0.25">
      <c r="A192" s="431">
        <v>5</v>
      </c>
      <c r="B192" s="431">
        <v>0</v>
      </c>
      <c r="C192" s="432" t="s">
        <v>2182</v>
      </c>
      <c r="D192" s="433" t="s">
        <v>248</v>
      </c>
      <c r="E192" s="434"/>
      <c r="F192" s="435"/>
      <c r="G192" s="436">
        <v>-1000000</v>
      </c>
      <c r="H192" s="436">
        <f t="shared" si="2"/>
        <v>1000</v>
      </c>
      <c r="I192" s="437"/>
      <c r="J192" s="437"/>
      <c r="K192" s="437"/>
      <c r="L192" s="437"/>
      <c r="M192" s="437"/>
      <c r="N192" s="437"/>
      <c r="O192" s="437"/>
      <c r="P192" s="437"/>
      <c r="Q192" s="437"/>
      <c r="R192" s="437"/>
      <c r="S192" s="437"/>
    </row>
    <row r="193" spans="1:19" ht="12.75" customHeight="1" x14ac:dyDescent="0.25">
      <c r="A193" s="431">
        <v>3</v>
      </c>
      <c r="B193" s="431">
        <v>2</v>
      </c>
      <c r="C193" s="432" t="s">
        <v>249</v>
      </c>
      <c r="D193" s="433" t="s">
        <v>250</v>
      </c>
      <c r="E193" s="434"/>
      <c r="F193" s="435"/>
      <c r="G193" s="436">
        <v>-250000</v>
      </c>
      <c r="H193" s="436">
        <f t="shared" si="2"/>
        <v>250</v>
      </c>
      <c r="I193" s="437"/>
      <c r="J193" s="437"/>
      <c r="K193" s="437"/>
      <c r="L193" s="437"/>
      <c r="M193" s="437"/>
      <c r="N193" s="437"/>
      <c r="O193" s="437"/>
      <c r="P193" s="437"/>
      <c r="Q193" s="437"/>
      <c r="R193" s="437"/>
      <c r="S193" s="437"/>
    </row>
    <row r="194" spans="1:19" ht="12.75" customHeight="1" x14ac:dyDescent="0.25">
      <c r="A194" s="431">
        <v>4</v>
      </c>
      <c r="B194" s="431">
        <v>1</v>
      </c>
      <c r="C194" s="432" t="s">
        <v>2183</v>
      </c>
      <c r="D194" s="433" t="s">
        <v>251</v>
      </c>
      <c r="E194" s="434"/>
      <c r="F194" s="435"/>
      <c r="G194" s="436">
        <v>-250000</v>
      </c>
      <c r="H194" s="436">
        <f t="shared" si="2"/>
        <v>250</v>
      </c>
      <c r="I194" s="437"/>
      <c r="J194" s="437"/>
      <c r="K194" s="437"/>
      <c r="L194" s="437"/>
      <c r="M194" s="437"/>
      <c r="N194" s="437"/>
      <c r="O194" s="437"/>
      <c r="P194" s="437"/>
      <c r="Q194" s="437"/>
      <c r="R194" s="437"/>
      <c r="S194" s="437"/>
    </row>
    <row r="195" spans="1:19" ht="12.75" customHeight="1" x14ac:dyDescent="0.25">
      <c r="A195" s="431">
        <v>5</v>
      </c>
      <c r="B195" s="431">
        <v>0</v>
      </c>
      <c r="C195" s="432" t="s">
        <v>2184</v>
      </c>
      <c r="D195" s="433" t="s">
        <v>252</v>
      </c>
      <c r="E195" s="434"/>
      <c r="F195" s="435"/>
      <c r="G195" s="436">
        <v>-200000</v>
      </c>
      <c r="H195" s="436">
        <f t="shared" si="2"/>
        <v>200</v>
      </c>
      <c r="I195" s="437"/>
      <c r="J195" s="437"/>
      <c r="K195" s="437"/>
      <c r="L195" s="437"/>
      <c r="M195" s="437"/>
      <c r="N195" s="437"/>
      <c r="O195" s="437"/>
      <c r="P195" s="437"/>
      <c r="Q195" s="437"/>
      <c r="R195" s="437"/>
      <c r="S195" s="437"/>
    </row>
    <row r="196" spans="1:19" ht="12.75" customHeight="1" x14ac:dyDescent="0.25">
      <c r="A196" s="431">
        <v>5</v>
      </c>
      <c r="B196" s="431">
        <v>0</v>
      </c>
      <c r="C196" s="432" t="s">
        <v>2185</v>
      </c>
      <c r="D196" s="433" t="s">
        <v>253</v>
      </c>
      <c r="E196" s="434"/>
      <c r="F196" s="435"/>
      <c r="G196" s="436">
        <v>-50000</v>
      </c>
      <c r="H196" s="436">
        <f t="shared" si="2"/>
        <v>50</v>
      </c>
      <c r="I196" s="437"/>
      <c r="J196" s="437"/>
      <c r="K196" s="437"/>
      <c r="L196" s="437"/>
      <c r="M196" s="437"/>
      <c r="N196" s="437"/>
      <c r="O196" s="437"/>
      <c r="P196" s="437"/>
      <c r="Q196" s="437"/>
      <c r="R196" s="437"/>
      <c r="S196" s="437"/>
    </row>
    <row r="197" spans="1:19" ht="12.75" customHeight="1" x14ac:dyDescent="0.25">
      <c r="A197" s="431">
        <v>3</v>
      </c>
      <c r="B197" s="431">
        <v>2</v>
      </c>
      <c r="C197" s="432" t="s">
        <v>254</v>
      </c>
      <c r="D197" s="433" t="s">
        <v>255</v>
      </c>
      <c r="E197" s="434"/>
      <c r="F197" s="435"/>
      <c r="G197" s="436">
        <v>-278189177.91000003</v>
      </c>
      <c r="H197" s="436">
        <f t="shared" si="2"/>
        <v>278189.17791000003</v>
      </c>
      <c r="I197" s="437"/>
      <c r="J197" s="437"/>
      <c r="K197" s="437"/>
      <c r="L197" s="437"/>
      <c r="M197" s="437"/>
      <c r="N197" s="437"/>
      <c r="O197" s="437"/>
      <c r="P197" s="437"/>
      <c r="Q197" s="437"/>
      <c r="R197" s="437"/>
      <c r="S197" s="437"/>
    </row>
    <row r="198" spans="1:19" ht="12.75" customHeight="1" x14ac:dyDescent="0.25">
      <c r="A198" s="431">
        <v>4</v>
      </c>
      <c r="B198" s="431">
        <v>1</v>
      </c>
      <c r="C198" s="432" t="s">
        <v>2186</v>
      </c>
      <c r="D198" s="433" t="s">
        <v>258</v>
      </c>
      <c r="E198" s="434"/>
      <c r="F198" s="435"/>
      <c r="G198" s="436">
        <v>-500000</v>
      </c>
      <c r="H198" s="436">
        <f t="shared" si="2"/>
        <v>500</v>
      </c>
      <c r="I198" s="437"/>
      <c r="J198" s="437"/>
      <c r="K198" s="437"/>
      <c r="L198" s="437"/>
      <c r="M198" s="437"/>
      <c r="N198" s="437"/>
      <c r="O198" s="437"/>
      <c r="P198" s="437"/>
      <c r="Q198" s="437"/>
      <c r="R198" s="437"/>
      <c r="S198" s="437"/>
    </row>
    <row r="199" spans="1:19" ht="12.75" customHeight="1" x14ac:dyDescent="0.25">
      <c r="A199" s="431">
        <v>5</v>
      </c>
      <c r="B199" s="431">
        <v>0</v>
      </c>
      <c r="C199" s="432" t="s">
        <v>2187</v>
      </c>
      <c r="D199" s="433" t="s">
        <v>259</v>
      </c>
      <c r="E199" s="434"/>
      <c r="F199" s="435"/>
      <c r="G199" s="436">
        <v>-500000</v>
      </c>
      <c r="H199" s="436">
        <f t="shared" si="2"/>
        <v>500</v>
      </c>
      <c r="I199" s="437"/>
      <c r="J199" s="437"/>
      <c r="K199" s="437"/>
      <c r="L199" s="437"/>
      <c r="M199" s="437"/>
      <c r="N199" s="437"/>
      <c r="O199" s="437"/>
      <c r="P199" s="437"/>
      <c r="Q199" s="437"/>
      <c r="R199" s="437"/>
      <c r="S199" s="437"/>
    </row>
    <row r="200" spans="1:19" ht="12.75" customHeight="1" x14ac:dyDescent="0.25">
      <c r="A200" s="431">
        <v>4</v>
      </c>
      <c r="B200" s="431">
        <v>1</v>
      </c>
      <c r="C200" s="432" t="s">
        <v>2188</v>
      </c>
      <c r="D200" s="433" t="s">
        <v>260</v>
      </c>
      <c r="E200" s="434"/>
      <c r="F200" s="435"/>
      <c r="G200" s="436">
        <v>-3400000</v>
      </c>
      <c r="H200" s="436">
        <f t="shared" si="2"/>
        <v>3400</v>
      </c>
      <c r="I200" s="437"/>
      <c r="J200" s="437"/>
      <c r="K200" s="437"/>
      <c r="L200" s="437"/>
      <c r="M200" s="437"/>
      <c r="N200" s="437"/>
      <c r="O200" s="437"/>
      <c r="P200" s="437"/>
      <c r="Q200" s="437"/>
      <c r="R200" s="437"/>
      <c r="S200" s="437"/>
    </row>
    <row r="201" spans="1:19" ht="12.75" customHeight="1" x14ac:dyDescent="0.25">
      <c r="A201" s="431">
        <v>5</v>
      </c>
      <c r="B201" s="431">
        <v>0</v>
      </c>
      <c r="C201" s="432" t="s">
        <v>2189</v>
      </c>
      <c r="D201" s="433" t="s">
        <v>261</v>
      </c>
      <c r="E201" s="434"/>
      <c r="F201" s="435"/>
      <c r="G201" s="436">
        <v>-1400000</v>
      </c>
      <c r="H201" s="436">
        <f t="shared" si="2"/>
        <v>1400</v>
      </c>
      <c r="I201" s="437"/>
      <c r="J201" s="437"/>
      <c r="K201" s="437"/>
      <c r="L201" s="437"/>
      <c r="M201" s="437"/>
      <c r="N201" s="437"/>
      <c r="O201" s="437"/>
      <c r="P201" s="437"/>
      <c r="Q201" s="437"/>
      <c r="R201" s="437"/>
      <c r="S201" s="437"/>
    </row>
    <row r="202" spans="1:19" ht="12.75" customHeight="1" x14ac:dyDescent="0.25">
      <c r="A202" s="431">
        <v>5</v>
      </c>
      <c r="B202" s="431">
        <v>0</v>
      </c>
      <c r="C202" s="432" t="s">
        <v>2190</v>
      </c>
      <c r="D202" s="433" t="s">
        <v>262</v>
      </c>
      <c r="E202" s="434"/>
      <c r="F202" s="435"/>
      <c r="G202" s="436">
        <v>-2000000</v>
      </c>
      <c r="H202" s="436">
        <f t="shared" si="2"/>
        <v>2000</v>
      </c>
      <c r="I202" s="437"/>
      <c r="J202" s="437"/>
      <c r="K202" s="437"/>
      <c r="L202" s="437"/>
      <c r="M202" s="437"/>
      <c r="N202" s="437"/>
      <c r="O202" s="437"/>
      <c r="P202" s="437"/>
      <c r="Q202" s="437"/>
      <c r="R202" s="437"/>
      <c r="S202" s="437"/>
    </row>
    <row r="203" spans="1:19" ht="12.75" customHeight="1" x14ac:dyDescent="0.25">
      <c r="A203" s="431">
        <v>4</v>
      </c>
      <c r="B203" s="431">
        <v>1</v>
      </c>
      <c r="C203" s="432" t="s">
        <v>2191</v>
      </c>
      <c r="D203" s="433" t="s">
        <v>263</v>
      </c>
      <c r="E203" s="434"/>
      <c r="F203" s="435"/>
      <c r="G203" s="436">
        <v>-5479759</v>
      </c>
      <c r="H203" s="436">
        <f t="shared" si="2"/>
        <v>5479.759</v>
      </c>
      <c r="I203" s="437"/>
      <c r="J203" s="437"/>
      <c r="K203" s="437"/>
      <c r="L203" s="437"/>
      <c r="M203" s="437"/>
      <c r="N203" s="437"/>
      <c r="O203" s="437"/>
      <c r="P203" s="437"/>
      <c r="Q203" s="437"/>
      <c r="R203" s="437"/>
      <c r="S203" s="437"/>
    </row>
    <row r="204" spans="1:19" ht="12.75" customHeight="1" x14ac:dyDescent="0.25">
      <c r="A204" s="431">
        <v>5</v>
      </c>
      <c r="B204" s="431">
        <v>0</v>
      </c>
      <c r="C204" s="432" t="s">
        <v>2192</v>
      </c>
      <c r="D204" s="433" t="s">
        <v>264</v>
      </c>
      <c r="E204" s="434"/>
      <c r="F204" s="435"/>
      <c r="G204" s="436">
        <v>-1384759</v>
      </c>
      <c r="H204" s="436">
        <f t="shared" ref="H204:H267" si="3">+G204/1000*-1</f>
        <v>1384.759</v>
      </c>
      <c r="I204" s="437"/>
      <c r="J204" s="437"/>
      <c r="K204" s="437"/>
      <c r="L204" s="437"/>
      <c r="M204" s="437"/>
      <c r="N204" s="437"/>
      <c r="O204" s="437"/>
      <c r="P204" s="437"/>
      <c r="Q204" s="437"/>
      <c r="R204" s="437"/>
      <c r="S204" s="437"/>
    </row>
    <row r="205" spans="1:19" ht="12.75" customHeight="1" x14ac:dyDescent="0.25">
      <c r="A205" s="431">
        <v>5</v>
      </c>
      <c r="B205" s="431">
        <v>0</v>
      </c>
      <c r="C205" s="432" t="s">
        <v>2193</v>
      </c>
      <c r="D205" s="433" t="s">
        <v>265</v>
      </c>
      <c r="E205" s="434"/>
      <c r="F205" s="435"/>
      <c r="G205" s="436">
        <v>-725000</v>
      </c>
      <c r="H205" s="436">
        <f t="shared" si="3"/>
        <v>725</v>
      </c>
      <c r="I205" s="437"/>
      <c r="J205" s="437"/>
      <c r="K205" s="437"/>
      <c r="L205" s="437"/>
      <c r="M205" s="437"/>
      <c r="N205" s="437"/>
      <c r="O205" s="437"/>
      <c r="P205" s="437"/>
      <c r="Q205" s="437"/>
      <c r="R205" s="437"/>
      <c r="S205" s="437"/>
    </row>
    <row r="206" spans="1:19" ht="12.75" customHeight="1" x14ac:dyDescent="0.25">
      <c r="A206" s="431">
        <v>5</v>
      </c>
      <c r="B206" s="431">
        <v>0</v>
      </c>
      <c r="C206" s="432" t="s">
        <v>2194</v>
      </c>
      <c r="D206" s="433" t="s">
        <v>266</v>
      </c>
      <c r="E206" s="434"/>
      <c r="F206" s="435"/>
      <c r="G206" s="436">
        <v>-1400000</v>
      </c>
      <c r="H206" s="436">
        <f t="shared" si="3"/>
        <v>1400</v>
      </c>
      <c r="I206" s="437"/>
      <c r="J206" s="437"/>
      <c r="K206" s="437"/>
      <c r="L206" s="437"/>
      <c r="M206" s="437"/>
      <c r="N206" s="437"/>
      <c r="O206" s="437"/>
      <c r="P206" s="437"/>
      <c r="Q206" s="437"/>
      <c r="R206" s="437"/>
      <c r="S206" s="437"/>
    </row>
    <row r="207" spans="1:19" ht="12.75" customHeight="1" x14ac:dyDescent="0.25">
      <c r="A207" s="431">
        <v>5</v>
      </c>
      <c r="B207" s="431">
        <v>0</v>
      </c>
      <c r="C207" s="432" t="s">
        <v>2195</v>
      </c>
      <c r="D207" s="433" t="s">
        <v>267</v>
      </c>
      <c r="E207" s="434"/>
      <c r="F207" s="435"/>
      <c r="G207" s="436">
        <v>-1920000</v>
      </c>
      <c r="H207" s="436">
        <f t="shared" si="3"/>
        <v>1920</v>
      </c>
      <c r="I207" s="437"/>
      <c r="J207" s="437"/>
      <c r="K207" s="437"/>
      <c r="L207" s="437"/>
      <c r="M207" s="437"/>
      <c r="N207" s="437"/>
      <c r="O207" s="437"/>
      <c r="P207" s="437"/>
      <c r="Q207" s="437"/>
      <c r="R207" s="437"/>
      <c r="S207" s="437"/>
    </row>
    <row r="208" spans="1:19" ht="12.75" customHeight="1" x14ac:dyDescent="0.25">
      <c r="A208" s="431">
        <v>5</v>
      </c>
      <c r="B208" s="431">
        <v>0</v>
      </c>
      <c r="C208" s="432" t="s">
        <v>2196</v>
      </c>
      <c r="D208" s="433" t="s">
        <v>268</v>
      </c>
      <c r="E208" s="434"/>
      <c r="F208" s="435"/>
      <c r="G208" s="436">
        <v>-50000</v>
      </c>
      <c r="H208" s="436">
        <f t="shared" si="3"/>
        <v>50</v>
      </c>
      <c r="I208" s="437"/>
      <c r="J208" s="437"/>
      <c r="K208" s="437"/>
      <c r="L208" s="437"/>
      <c r="M208" s="437"/>
      <c r="N208" s="437"/>
      <c r="O208" s="437"/>
      <c r="P208" s="437"/>
      <c r="Q208" s="437"/>
      <c r="R208" s="437"/>
      <c r="S208" s="437"/>
    </row>
    <row r="209" spans="1:19" ht="12.75" customHeight="1" x14ac:dyDescent="0.25">
      <c r="A209" s="431">
        <v>4</v>
      </c>
      <c r="B209" s="431">
        <v>1</v>
      </c>
      <c r="C209" s="432" t="s">
        <v>2197</v>
      </c>
      <c r="D209" s="433" t="s">
        <v>269</v>
      </c>
      <c r="E209" s="434"/>
      <c r="F209" s="435"/>
      <c r="G209" s="436">
        <v>-500000</v>
      </c>
      <c r="H209" s="436">
        <f t="shared" si="3"/>
        <v>500</v>
      </c>
      <c r="I209" s="437"/>
      <c r="J209" s="437"/>
      <c r="K209" s="437"/>
      <c r="L209" s="437"/>
      <c r="M209" s="437"/>
      <c r="N209" s="437"/>
      <c r="O209" s="437"/>
      <c r="P209" s="437"/>
      <c r="Q209" s="437"/>
      <c r="R209" s="437"/>
      <c r="S209" s="437"/>
    </row>
    <row r="210" spans="1:19" ht="12.75" customHeight="1" x14ac:dyDescent="0.25">
      <c r="A210" s="431">
        <v>5</v>
      </c>
      <c r="B210" s="431">
        <v>0</v>
      </c>
      <c r="C210" s="432" t="s">
        <v>2198</v>
      </c>
      <c r="D210" s="433" t="s">
        <v>270</v>
      </c>
      <c r="E210" s="434"/>
      <c r="F210" s="435"/>
      <c r="G210" s="436">
        <v>-500000</v>
      </c>
      <c r="H210" s="436">
        <f t="shared" si="3"/>
        <v>500</v>
      </c>
      <c r="I210" s="437"/>
      <c r="J210" s="437"/>
      <c r="K210" s="437"/>
      <c r="L210" s="437"/>
      <c r="M210" s="437"/>
      <c r="N210" s="437"/>
      <c r="O210" s="437"/>
      <c r="P210" s="437"/>
      <c r="Q210" s="437"/>
      <c r="R210" s="437"/>
      <c r="S210" s="437"/>
    </row>
    <row r="211" spans="1:19" ht="12.75" customHeight="1" x14ac:dyDescent="0.25">
      <c r="A211" s="431">
        <v>4</v>
      </c>
      <c r="B211" s="431">
        <v>1</v>
      </c>
      <c r="C211" s="432" t="s">
        <v>2199</v>
      </c>
      <c r="D211" s="433" t="s">
        <v>271</v>
      </c>
      <c r="E211" s="434"/>
      <c r="F211" s="435"/>
      <c r="G211" s="436">
        <v>-106435000</v>
      </c>
      <c r="H211" s="436">
        <f t="shared" si="3"/>
        <v>106435</v>
      </c>
      <c r="I211" s="437"/>
      <c r="J211" s="437"/>
      <c r="K211" s="437"/>
      <c r="L211" s="437"/>
      <c r="M211" s="437"/>
      <c r="N211" s="437"/>
      <c r="O211" s="437"/>
      <c r="P211" s="437"/>
      <c r="Q211" s="437"/>
      <c r="R211" s="437"/>
      <c r="S211" s="437"/>
    </row>
    <row r="212" spans="1:19" ht="12.75" customHeight="1" x14ac:dyDescent="0.25">
      <c r="A212" s="431">
        <v>5</v>
      </c>
      <c r="B212" s="431">
        <v>0</v>
      </c>
      <c r="C212" s="432" t="s">
        <v>2200</v>
      </c>
      <c r="D212" s="433" t="s">
        <v>272</v>
      </c>
      <c r="E212" s="434"/>
      <c r="F212" s="435"/>
      <c r="G212" s="436">
        <v>-55700000</v>
      </c>
      <c r="H212" s="436">
        <f t="shared" si="3"/>
        <v>55700</v>
      </c>
      <c r="I212" s="437"/>
      <c r="J212" s="437"/>
      <c r="K212" s="437"/>
      <c r="L212" s="437"/>
      <c r="M212" s="437"/>
      <c r="N212" s="437"/>
      <c r="O212" s="437"/>
      <c r="P212" s="437"/>
      <c r="Q212" s="437"/>
      <c r="R212" s="437"/>
      <c r="S212" s="437"/>
    </row>
    <row r="213" spans="1:19" ht="12.75" customHeight="1" x14ac:dyDescent="0.25">
      <c r="A213" s="431">
        <v>5</v>
      </c>
      <c r="B213" s="431">
        <v>0</v>
      </c>
      <c r="C213" s="432" t="s">
        <v>2201</v>
      </c>
      <c r="D213" s="433" t="s">
        <v>273</v>
      </c>
      <c r="E213" s="434"/>
      <c r="F213" s="435"/>
      <c r="G213" s="436">
        <v>-2200000</v>
      </c>
      <c r="H213" s="436">
        <f t="shared" si="3"/>
        <v>2200</v>
      </c>
      <c r="I213" s="437"/>
      <c r="J213" s="437"/>
      <c r="K213" s="437"/>
      <c r="L213" s="437"/>
      <c r="M213" s="437"/>
      <c r="N213" s="437"/>
      <c r="O213" s="437"/>
      <c r="P213" s="437"/>
      <c r="Q213" s="437"/>
      <c r="R213" s="437"/>
      <c r="S213" s="437"/>
    </row>
    <row r="214" spans="1:19" ht="12.75" customHeight="1" x14ac:dyDescent="0.25">
      <c r="A214" s="431">
        <v>5</v>
      </c>
      <c r="B214" s="431">
        <v>0</v>
      </c>
      <c r="C214" s="432" t="s">
        <v>2202</v>
      </c>
      <c r="D214" s="433" t="s">
        <v>274</v>
      </c>
      <c r="E214" s="434"/>
      <c r="F214" s="435"/>
      <c r="G214" s="436">
        <v>-460000</v>
      </c>
      <c r="H214" s="436">
        <f t="shared" si="3"/>
        <v>460</v>
      </c>
      <c r="I214" s="437"/>
      <c r="J214" s="437"/>
      <c r="K214" s="437"/>
      <c r="L214" s="437"/>
      <c r="M214" s="437"/>
      <c r="N214" s="437"/>
      <c r="O214" s="437"/>
      <c r="P214" s="437"/>
      <c r="Q214" s="437"/>
      <c r="R214" s="437"/>
      <c r="S214" s="437"/>
    </row>
    <row r="215" spans="1:19" ht="12.75" customHeight="1" x14ac:dyDescent="0.25">
      <c r="A215" s="431">
        <v>5</v>
      </c>
      <c r="B215" s="431">
        <v>0</v>
      </c>
      <c r="C215" s="432" t="s">
        <v>2203</v>
      </c>
      <c r="D215" s="433" t="s">
        <v>275</v>
      </c>
      <c r="E215" s="434"/>
      <c r="F215" s="435"/>
      <c r="G215" s="436">
        <v>-8500000</v>
      </c>
      <c r="H215" s="436">
        <f t="shared" si="3"/>
        <v>8500</v>
      </c>
      <c r="I215" s="437"/>
      <c r="J215" s="437"/>
      <c r="K215" s="437"/>
      <c r="L215" s="437"/>
      <c r="M215" s="437"/>
      <c r="N215" s="437"/>
      <c r="O215" s="437"/>
      <c r="P215" s="437"/>
      <c r="Q215" s="437"/>
      <c r="R215" s="437"/>
      <c r="S215" s="437"/>
    </row>
    <row r="216" spans="1:19" ht="12.75" customHeight="1" x14ac:dyDescent="0.25">
      <c r="A216" s="431">
        <v>5</v>
      </c>
      <c r="B216" s="431">
        <v>0</v>
      </c>
      <c r="C216" s="432" t="s">
        <v>2204</v>
      </c>
      <c r="D216" s="433" t="s">
        <v>276</v>
      </c>
      <c r="E216" s="434"/>
      <c r="F216" s="435"/>
      <c r="G216" s="436">
        <v>-75000</v>
      </c>
      <c r="H216" s="436">
        <f t="shared" si="3"/>
        <v>75</v>
      </c>
      <c r="I216" s="437"/>
      <c r="J216" s="437"/>
      <c r="K216" s="437"/>
      <c r="L216" s="437"/>
      <c r="M216" s="437"/>
      <c r="N216" s="437"/>
      <c r="O216" s="437"/>
      <c r="P216" s="437"/>
      <c r="Q216" s="437"/>
      <c r="R216" s="437"/>
      <c r="S216" s="437"/>
    </row>
    <row r="217" spans="1:19" ht="12.75" customHeight="1" x14ac:dyDescent="0.25">
      <c r="A217" s="431">
        <v>5</v>
      </c>
      <c r="B217" s="431">
        <v>0</v>
      </c>
      <c r="C217" s="432" t="s">
        <v>2205</v>
      </c>
      <c r="D217" s="433" t="s">
        <v>277</v>
      </c>
      <c r="E217" s="434"/>
      <c r="F217" s="435"/>
      <c r="G217" s="436">
        <v>-1000000</v>
      </c>
      <c r="H217" s="436">
        <f t="shared" si="3"/>
        <v>1000</v>
      </c>
      <c r="I217" s="437"/>
      <c r="J217" s="437"/>
      <c r="K217" s="437"/>
      <c r="L217" s="437"/>
      <c r="M217" s="437"/>
      <c r="N217" s="437"/>
      <c r="O217" s="437"/>
      <c r="P217" s="437"/>
      <c r="Q217" s="437"/>
      <c r="R217" s="437"/>
      <c r="S217" s="437"/>
    </row>
    <row r="218" spans="1:19" ht="12.75" customHeight="1" x14ac:dyDescent="0.25">
      <c r="A218" s="431">
        <v>5</v>
      </c>
      <c r="B218" s="431">
        <v>0</v>
      </c>
      <c r="C218" s="432" t="s">
        <v>2206</v>
      </c>
      <c r="D218" s="433" t="s">
        <v>278</v>
      </c>
      <c r="E218" s="434"/>
      <c r="F218" s="435"/>
      <c r="G218" s="436">
        <v>-38500000</v>
      </c>
      <c r="H218" s="436">
        <f t="shared" si="3"/>
        <v>38500</v>
      </c>
      <c r="I218" s="437"/>
      <c r="J218" s="437"/>
      <c r="K218" s="437"/>
      <c r="L218" s="437"/>
      <c r="M218" s="437"/>
      <c r="N218" s="437"/>
      <c r="O218" s="437"/>
      <c r="P218" s="437"/>
      <c r="Q218" s="437"/>
      <c r="R218" s="437"/>
      <c r="S218" s="437"/>
    </row>
    <row r="219" spans="1:19" ht="12.75" customHeight="1" x14ac:dyDescent="0.25">
      <c r="A219" s="431">
        <v>4</v>
      </c>
      <c r="B219" s="431">
        <v>1</v>
      </c>
      <c r="C219" s="432" t="s">
        <v>2207</v>
      </c>
      <c r="D219" s="433" t="s">
        <v>279</v>
      </c>
      <c r="E219" s="434"/>
      <c r="F219" s="435"/>
      <c r="G219" s="436">
        <v>-2050000</v>
      </c>
      <c r="H219" s="436">
        <f t="shared" si="3"/>
        <v>2050</v>
      </c>
      <c r="I219" s="437"/>
      <c r="J219" s="437"/>
      <c r="K219" s="437"/>
      <c r="L219" s="437"/>
      <c r="M219" s="437"/>
      <c r="N219" s="437"/>
      <c r="O219" s="437"/>
      <c r="P219" s="437"/>
      <c r="Q219" s="437"/>
      <c r="R219" s="437"/>
      <c r="S219" s="437"/>
    </row>
    <row r="220" spans="1:19" ht="12.75" customHeight="1" x14ac:dyDescent="0.25">
      <c r="A220" s="431">
        <v>5</v>
      </c>
      <c r="B220" s="431">
        <v>0</v>
      </c>
      <c r="C220" s="432" t="s">
        <v>2208</v>
      </c>
      <c r="D220" s="433" t="s">
        <v>280</v>
      </c>
      <c r="E220" s="434"/>
      <c r="F220" s="435"/>
      <c r="G220" s="436">
        <v>-80000</v>
      </c>
      <c r="H220" s="436">
        <f t="shared" si="3"/>
        <v>80</v>
      </c>
      <c r="I220" s="437"/>
      <c r="J220" s="437"/>
      <c r="K220" s="437"/>
      <c r="L220" s="437"/>
      <c r="M220" s="437"/>
      <c r="N220" s="437"/>
      <c r="O220" s="437"/>
      <c r="P220" s="437"/>
      <c r="Q220" s="437"/>
      <c r="R220" s="437"/>
      <c r="S220" s="437"/>
    </row>
    <row r="221" spans="1:19" ht="12.75" customHeight="1" x14ac:dyDescent="0.25">
      <c r="A221" s="431">
        <v>5</v>
      </c>
      <c r="B221" s="431">
        <v>0</v>
      </c>
      <c r="C221" s="432" t="s">
        <v>2209</v>
      </c>
      <c r="D221" s="433" t="s">
        <v>281</v>
      </c>
      <c r="E221" s="434"/>
      <c r="F221" s="435"/>
      <c r="G221" s="436">
        <v>-1650000</v>
      </c>
      <c r="H221" s="436">
        <f t="shared" si="3"/>
        <v>1650</v>
      </c>
      <c r="I221" s="437"/>
      <c r="J221" s="437"/>
      <c r="K221" s="437"/>
      <c r="L221" s="437"/>
      <c r="M221" s="437"/>
      <c r="N221" s="437"/>
      <c r="O221" s="437"/>
      <c r="P221" s="437"/>
      <c r="Q221" s="437"/>
      <c r="R221" s="437"/>
      <c r="S221" s="437"/>
    </row>
    <row r="222" spans="1:19" ht="12.75" customHeight="1" x14ac:dyDescent="0.25">
      <c r="A222" s="431">
        <v>5</v>
      </c>
      <c r="B222" s="431">
        <v>0</v>
      </c>
      <c r="C222" s="432" t="s">
        <v>2210</v>
      </c>
      <c r="D222" s="433" t="s">
        <v>282</v>
      </c>
      <c r="E222" s="434"/>
      <c r="F222" s="435"/>
      <c r="G222" s="436">
        <v>-320000</v>
      </c>
      <c r="H222" s="436">
        <f t="shared" si="3"/>
        <v>320</v>
      </c>
      <c r="I222" s="437"/>
      <c r="J222" s="437"/>
      <c r="K222" s="437"/>
      <c r="L222" s="437"/>
      <c r="M222" s="437"/>
      <c r="N222" s="437"/>
      <c r="O222" s="437"/>
      <c r="P222" s="437"/>
      <c r="Q222" s="437"/>
      <c r="R222" s="437"/>
      <c r="S222" s="437"/>
    </row>
    <row r="223" spans="1:19" ht="12.75" customHeight="1" x14ac:dyDescent="0.25">
      <c r="A223" s="431">
        <v>4</v>
      </c>
      <c r="B223" s="431">
        <v>1</v>
      </c>
      <c r="C223" s="432" t="s">
        <v>2211</v>
      </c>
      <c r="D223" s="433" t="s">
        <v>283</v>
      </c>
      <c r="E223" s="434"/>
      <c r="F223" s="435"/>
      <c r="G223" s="436">
        <v>-69438498.909999996</v>
      </c>
      <c r="H223" s="436">
        <f t="shared" si="3"/>
        <v>69438.498909999995</v>
      </c>
      <c r="I223" s="437"/>
      <c r="J223" s="437"/>
      <c r="K223" s="437"/>
      <c r="L223" s="437"/>
      <c r="M223" s="437"/>
      <c r="N223" s="437"/>
      <c r="O223" s="437"/>
      <c r="P223" s="437"/>
      <c r="Q223" s="437"/>
      <c r="R223" s="437"/>
      <c r="S223" s="437"/>
    </row>
    <row r="224" spans="1:19" ht="12.75" customHeight="1" x14ac:dyDescent="0.25">
      <c r="A224" s="431">
        <v>5</v>
      </c>
      <c r="B224" s="431">
        <v>0</v>
      </c>
      <c r="C224" s="432" t="s">
        <v>2212</v>
      </c>
      <c r="D224" s="433" t="s">
        <v>284</v>
      </c>
      <c r="E224" s="434"/>
      <c r="F224" s="435"/>
      <c r="G224" s="436">
        <v>-1200000</v>
      </c>
      <c r="H224" s="436">
        <f t="shared" si="3"/>
        <v>1200</v>
      </c>
      <c r="I224" s="437"/>
      <c r="J224" s="437"/>
      <c r="K224" s="437"/>
      <c r="L224" s="437"/>
      <c r="M224" s="437"/>
      <c r="N224" s="437"/>
      <c r="O224" s="437"/>
      <c r="P224" s="437"/>
      <c r="Q224" s="437"/>
      <c r="R224" s="437"/>
      <c r="S224" s="437"/>
    </row>
    <row r="225" spans="1:19" ht="12.75" customHeight="1" x14ac:dyDescent="0.25">
      <c r="A225" s="431">
        <v>5</v>
      </c>
      <c r="B225" s="431">
        <v>0</v>
      </c>
      <c r="C225" s="432" t="s">
        <v>2213</v>
      </c>
      <c r="D225" s="433" t="s">
        <v>285</v>
      </c>
      <c r="E225" s="434"/>
      <c r="F225" s="435"/>
      <c r="G225" s="436">
        <v>-20000000</v>
      </c>
      <c r="H225" s="436">
        <f t="shared" si="3"/>
        <v>20000</v>
      </c>
      <c r="I225" s="437"/>
      <c r="J225" s="437"/>
      <c r="K225" s="437"/>
      <c r="L225" s="437"/>
      <c r="M225" s="437"/>
      <c r="N225" s="437"/>
      <c r="O225" s="437"/>
      <c r="P225" s="437"/>
      <c r="Q225" s="437"/>
      <c r="R225" s="437"/>
      <c r="S225" s="437"/>
    </row>
    <row r="226" spans="1:19" ht="12.75" customHeight="1" x14ac:dyDescent="0.25">
      <c r="A226" s="431">
        <v>5</v>
      </c>
      <c r="B226" s="431">
        <v>0</v>
      </c>
      <c r="C226" s="432" t="s">
        <v>2214</v>
      </c>
      <c r="D226" s="433" t="s">
        <v>286</v>
      </c>
      <c r="E226" s="434"/>
      <c r="F226" s="435"/>
      <c r="G226" s="436">
        <v>-1490000</v>
      </c>
      <c r="H226" s="436">
        <f t="shared" si="3"/>
        <v>1490</v>
      </c>
      <c r="I226" s="437"/>
      <c r="J226" s="437"/>
      <c r="K226" s="437"/>
      <c r="L226" s="437"/>
      <c r="M226" s="437"/>
      <c r="N226" s="437"/>
      <c r="O226" s="437"/>
      <c r="P226" s="437"/>
      <c r="Q226" s="437"/>
      <c r="R226" s="437"/>
      <c r="S226" s="437"/>
    </row>
    <row r="227" spans="1:19" ht="12.75" customHeight="1" x14ac:dyDescent="0.25">
      <c r="A227" s="431">
        <v>5</v>
      </c>
      <c r="B227" s="431">
        <v>0</v>
      </c>
      <c r="C227" s="432" t="s">
        <v>2215</v>
      </c>
      <c r="D227" s="433" t="s">
        <v>287</v>
      </c>
      <c r="E227" s="434"/>
      <c r="F227" s="435"/>
      <c r="G227" s="436">
        <v>-350000</v>
      </c>
      <c r="H227" s="436">
        <f t="shared" si="3"/>
        <v>350</v>
      </c>
      <c r="I227" s="437"/>
      <c r="J227" s="437"/>
      <c r="K227" s="437"/>
      <c r="L227" s="437"/>
      <c r="M227" s="437"/>
      <c r="N227" s="437"/>
      <c r="O227" s="437"/>
      <c r="P227" s="437"/>
      <c r="Q227" s="437"/>
      <c r="R227" s="437"/>
      <c r="S227" s="437"/>
    </row>
    <row r="228" spans="1:19" ht="12.75" customHeight="1" x14ac:dyDescent="0.25">
      <c r="A228" s="431">
        <v>5</v>
      </c>
      <c r="B228" s="431">
        <v>0</v>
      </c>
      <c r="C228" s="432" t="s">
        <v>2216</v>
      </c>
      <c r="D228" s="433" t="s">
        <v>288</v>
      </c>
      <c r="E228" s="434"/>
      <c r="F228" s="435"/>
      <c r="G228" s="436">
        <v>-400000</v>
      </c>
      <c r="H228" s="436">
        <f t="shared" si="3"/>
        <v>400</v>
      </c>
      <c r="I228" s="437"/>
      <c r="J228" s="437"/>
      <c r="K228" s="437"/>
      <c r="L228" s="437"/>
      <c r="M228" s="437"/>
      <c r="N228" s="437"/>
      <c r="O228" s="437"/>
      <c r="P228" s="437"/>
      <c r="Q228" s="437"/>
      <c r="R228" s="437"/>
      <c r="S228" s="437"/>
    </row>
    <row r="229" spans="1:19" ht="12.75" customHeight="1" x14ac:dyDescent="0.25">
      <c r="A229" s="431">
        <v>5</v>
      </c>
      <c r="B229" s="431">
        <v>0</v>
      </c>
      <c r="C229" s="432" t="s">
        <v>2217</v>
      </c>
      <c r="D229" s="433" t="s">
        <v>289</v>
      </c>
      <c r="E229" s="434"/>
      <c r="F229" s="435"/>
      <c r="G229" s="436">
        <v>-848476</v>
      </c>
      <c r="H229" s="436">
        <f t="shared" si="3"/>
        <v>848.476</v>
      </c>
      <c r="I229" s="437"/>
      <c r="J229" s="437"/>
      <c r="K229" s="437"/>
      <c r="L229" s="437"/>
      <c r="M229" s="437"/>
      <c r="N229" s="437"/>
      <c r="O229" s="437"/>
      <c r="P229" s="437"/>
      <c r="Q229" s="437"/>
      <c r="R229" s="437"/>
      <c r="S229" s="437"/>
    </row>
    <row r="230" spans="1:19" ht="12.75" customHeight="1" x14ac:dyDescent="0.25">
      <c r="A230" s="431">
        <v>5</v>
      </c>
      <c r="B230" s="431">
        <v>0</v>
      </c>
      <c r="C230" s="432" t="s">
        <v>2218</v>
      </c>
      <c r="D230" s="433" t="s">
        <v>290</v>
      </c>
      <c r="E230" s="434"/>
      <c r="F230" s="435"/>
      <c r="G230" s="436">
        <v>-4290000</v>
      </c>
      <c r="H230" s="436">
        <f t="shared" si="3"/>
        <v>4290</v>
      </c>
      <c r="I230" s="437"/>
      <c r="J230" s="437"/>
      <c r="K230" s="437"/>
      <c r="L230" s="437"/>
      <c r="M230" s="437"/>
      <c r="N230" s="437"/>
      <c r="O230" s="437"/>
      <c r="P230" s="437"/>
      <c r="Q230" s="437"/>
      <c r="R230" s="437"/>
      <c r="S230" s="437"/>
    </row>
    <row r="231" spans="1:19" ht="12.75" customHeight="1" x14ac:dyDescent="0.25">
      <c r="A231" s="431">
        <v>5</v>
      </c>
      <c r="B231" s="431">
        <v>0</v>
      </c>
      <c r="C231" s="432" t="s">
        <v>2219</v>
      </c>
      <c r="D231" s="433" t="s">
        <v>2220</v>
      </c>
      <c r="E231" s="434"/>
      <c r="F231" s="435"/>
      <c r="G231" s="436">
        <v>-1488022.91</v>
      </c>
      <c r="H231" s="436">
        <f t="shared" si="3"/>
        <v>1488.0229099999999</v>
      </c>
      <c r="I231" s="437"/>
      <c r="J231" s="437"/>
      <c r="K231" s="437"/>
      <c r="L231" s="437"/>
      <c r="M231" s="437"/>
      <c r="N231" s="437"/>
      <c r="O231" s="437"/>
      <c r="P231" s="437"/>
      <c r="Q231" s="437"/>
      <c r="R231" s="437"/>
      <c r="S231" s="437"/>
    </row>
    <row r="232" spans="1:19" ht="12.75" customHeight="1" x14ac:dyDescent="0.25">
      <c r="A232" s="431">
        <v>5</v>
      </c>
      <c r="B232" s="431">
        <v>0</v>
      </c>
      <c r="C232" s="432" t="s">
        <v>2221</v>
      </c>
      <c r="D232" s="433" t="s">
        <v>291</v>
      </c>
      <c r="E232" s="434"/>
      <c r="F232" s="435"/>
      <c r="G232" s="436">
        <v>-32572000</v>
      </c>
      <c r="H232" s="436">
        <f t="shared" si="3"/>
        <v>32572</v>
      </c>
      <c r="I232" s="437"/>
      <c r="J232" s="437"/>
      <c r="K232" s="437"/>
      <c r="L232" s="437"/>
      <c r="M232" s="437"/>
      <c r="N232" s="437"/>
      <c r="O232" s="437"/>
      <c r="P232" s="437"/>
      <c r="Q232" s="437"/>
      <c r="R232" s="437"/>
      <c r="S232" s="437"/>
    </row>
    <row r="233" spans="1:19" ht="12.75" customHeight="1" x14ac:dyDescent="0.25">
      <c r="A233" s="431">
        <v>5</v>
      </c>
      <c r="B233" s="431">
        <v>0</v>
      </c>
      <c r="C233" s="432" t="s">
        <v>2222</v>
      </c>
      <c r="D233" s="433" t="s">
        <v>292</v>
      </c>
      <c r="E233" s="434"/>
      <c r="F233" s="435"/>
      <c r="G233" s="436">
        <v>-100000</v>
      </c>
      <c r="H233" s="436">
        <f t="shared" si="3"/>
        <v>100</v>
      </c>
      <c r="I233" s="437"/>
      <c r="J233" s="437"/>
      <c r="K233" s="437"/>
      <c r="L233" s="437"/>
      <c r="M233" s="437"/>
      <c r="N233" s="437"/>
      <c r="O233" s="437"/>
      <c r="P233" s="437"/>
      <c r="Q233" s="437"/>
      <c r="R233" s="437"/>
      <c r="S233" s="437"/>
    </row>
    <row r="234" spans="1:19" ht="12.75" customHeight="1" x14ac:dyDescent="0.25">
      <c r="A234" s="431">
        <v>5</v>
      </c>
      <c r="B234" s="431">
        <v>0</v>
      </c>
      <c r="C234" s="432" t="s">
        <v>2223</v>
      </c>
      <c r="D234" s="433" t="s">
        <v>2224</v>
      </c>
      <c r="E234" s="434"/>
      <c r="F234" s="435"/>
      <c r="G234" s="436">
        <v>-4500000</v>
      </c>
      <c r="H234" s="436">
        <f t="shared" si="3"/>
        <v>4500</v>
      </c>
      <c r="I234" s="437"/>
      <c r="J234" s="437"/>
      <c r="K234" s="437"/>
      <c r="L234" s="437"/>
      <c r="M234" s="437"/>
      <c r="N234" s="437"/>
      <c r="O234" s="437"/>
      <c r="P234" s="437"/>
      <c r="Q234" s="437"/>
      <c r="R234" s="437"/>
      <c r="S234" s="437"/>
    </row>
    <row r="235" spans="1:19" ht="12.75" customHeight="1" x14ac:dyDescent="0.25">
      <c r="A235" s="431">
        <v>5</v>
      </c>
      <c r="B235" s="431">
        <v>0</v>
      </c>
      <c r="C235" s="432" t="s">
        <v>2225</v>
      </c>
      <c r="D235" s="433" t="s">
        <v>2226</v>
      </c>
      <c r="E235" s="434"/>
      <c r="F235" s="435"/>
      <c r="G235" s="436">
        <v>-2200000</v>
      </c>
      <c r="H235" s="436">
        <f t="shared" si="3"/>
        <v>2200</v>
      </c>
      <c r="I235" s="437"/>
      <c r="J235" s="437"/>
      <c r="K235" s="437"/>
      <c r="L235" s="437"/>
      <c r="M235" s="437"/>
      <c r="N235" s="437"/>
      <c r="O235" s="437"/>
      <c r="P235" s="437"/>
      <c r="Q235" s="437"/>
      <c r="R235" s="437"/>
      <c r="S235" s="437"/>
    </row>
    <row r="236" spans="1:19" ht="12.75" customHeight="1" x14ac:dyDescent="0.25">
      <c r="A236" s="431">
        <v>4</v>
      </c>
      <c r="B236" s="431">
        <v>1</v>
      </c>
      <c r="C236" s="432" t="s">
        <v>2227</v>
      </c>
      <c r="D236" s="433" t="s">
        <v>293</v>
      </c>
      <c r="E236" s="434"/>
      <c r="F236" s="435"/>
      <c r="G236" s="436">
        <v>-900000</v>
      </c>
      <c r="H236" s="436">
        <f t="shared" si="3"/>
        <v>900</v>
      </c>
      <c r="I236" s="437"/>
      <c r="J236" s="437"/>
      <c r="K236" s="437"/>
      <c r="L236" s="437"/>
      <c r="M236" s="437"/>
      <c r="N236" s="437"/>
      <c r="O236" s="437"/>
      <c r="P236" s="437"/>
      <c r="Q236" s="437"/>
      <c r="R236" s="437"/>
      <c r="S236" s="437"/>
    </row>
    <row r="237" spans="1:19" ht="12.75" customHeight="1" x14ac:dyDescent="0.25">
      <c r="A237" s="431">
        <v>5</v>
      </c>
      <c r="B237" s="431">
        <v>0</v>
      </c>
      <c r="C237" s="432" t="s">
        <v>2228</v>
      </c>
      <c r="D237" s="433" t="s">
        <v>294</v>
      </c>
      <c r="E237" s="434"/>
      <c r="F237" s="435"/>
      <c r="G237" s="436">
        <v>-900000</v>
      </c>
      <c r="H237" s="436">
        <f t="shared" si="3"/>
        <v>900</v>
      </c>
      <c r="I237" s="437"/>
      <c r="J237" s="437"/>
      <c r="K237" s="437"/>
      <c r="L237" s="437"/>
      <c r="M237" s="437"/>
      <c r="N237" s="437"/>
      <c r="O237" s="437"/>
      <c r="P237" s="437"/>
      <c r="Q237" s="437"/>
      <c r="R237" s="437"/>
      <c r="S237" s="437"/>
    </row>
    <row r="238" spans="1:19" ht="12.75" customHeight="1" x14ac:dyDescent="0.25">
      <c r="A238" s="431">
        <v>4</v>
      </c>
      <c r="B238" s="431">
        <v>1</v>
      </c>
      <c r="C238" s="432" t="s">
        <v>2229</v>
      </c>
      <c r="D238" s="433" t="s">
        <v>297</v>
      </c>
      <c r="E238" s="434"/>
      <c r="F238" s="435"/>
      <c r="G238" s="436">
        <v>-88985920</v>
      </c>
      <c r="H238" s="436">
        <f t="shared" si="3"/>
        <v>88985.919999999998</v>
      </c>
      <c r="I238" s="437"/>
      <c r="J238" s="437"/>
      <c r="K238" s="437"/>
      <c r="L238" s="437"/>
      <c r="M238" s="437"/>
      <c r="N238" s="437"/>
      <c r="O238" s="437"/>
      <c r="P238" s="437"/>
      <c r="Q238" s="437"/>
      <c r="R238" s="437"/>
      <c r="S238" s="437"/>
    </row>
    <row r="239" spans="1:19" ht="12.75" customHeight="1" x14ac:dyDescent="0.25">
      <c r="A239" s="431">
        <v>5</v>
      </c>
      <c r="B239" s="431">
        <v>0</v>
      </c>
      <c r="C239" s="432" t="s">
        <v>2230</v>
      </c>
      <c r="D239" s="433" t="s">
        <v>298</v>
      </c>
      <c r="E239" s="434"/>
      <c r="F239" s="435"/>
      <c r="G239" s="436">
        <v>-9960000</v>
      </c>
      <c r="H239" s="436">
        <f t="shared" si="3"/>
        <v>9960</v>
      </c>
      <c r="I239" s="437"/>
      <c r="J239" s="437"/>
      <c r="K239" s="437"/>
      <c r="L239" s="437"/>
      <c r="M239" s="437"/>
      <c r="N239" s="437"/>
      <c r="O239" s="437"/>
      <c r="P239" s="437"/>
      <c r="Q239" s="437"/>
      <c r="R239" s="437"/>
      <c r="S239" s="437"/>
    </row>
    <row r="240" spans="1:19" ht="12.75" customHeight="1" x14ac:dyDescent="0.25">
      <c r="A240" s="431">
        <v>5</v>
      </c>
      <c r="B240" s="431">
        <v>0</v>
      </c>
      <c r="C240" s="432" t="s">
        <v>2231</v>
      </c>
      <c r="D240" s="433" t="s">
        <v>299</v>
      </c>
      <c r="E240" s="434"/>
      <c r="F240" s="435"/>
      <c r="G240" s="436">
        <v>-1830000</v>
      </c>
      <c r="H240" s="436">
        <f t="shared" si="3"/>
        <v>1830</v>
      </c>
      <c r="I240" s="437"/>
      <c r="J240" s="437"/>
      <c r="K240" s="437"/>
      <c r="L240" s="437"/>
      <c r="M240" s="437"/>
      <c r="N240" s="437"/>
      <c r="O240" s="437"/>
      <c r="P240" s="437"/>
      <c r="Q240" s="437"/>
      <c r="R240" s="437"/>
      <c r="S240" s="437"/>
    </row>
    <row r="241" spans="1:19" ht="12.75" customHeight="1" x14ac:dyDescent="0.25">
      <c r="A241" s="431">
        <v>5</v>
      </c>
      <c r="B241" s="431">
        <v>0</v>
      </c>
      <c r="C241" s="432" t="s">
        <v>2232</v>
      </c>
      <c r="D241" s="433" t="s">
        <v>300</v>
      </c>
      <c r="E241" s="434"/>
      <c r="F241" s="435"/>
      <c r="G241" s="436">
        <v>-3182680</v>
      </c>
      <c r="H241" s="436">
        <f t="shared" si="3"/>
        <v>3182.68</v>
      </c>
      <c r="I241" s="437"/>
      <c r="J241" s="437"/>
      <c r="K241" s="437"/>
      <c r="L241" s="437"/>
      <c r="M241" s="437"/>
      <c r="N241" s="437"/>
      <c r="O241" s="437"/>
      <c r="P241" s="437"/>
      <c r="Q241" s="437"/>
      <c r="R241" s="437"/>
      <c r="S241" s="437"/>
    </row>
    <row r="242" spans="1:19" ht="12.75" customHeight="1" x14ac:dyDescent="0.25">
      <c r="A242" s="431">
        <v>5</v>
      </c>
      <c r="B242" s="431">
        <v>0</v>
      </c>
      <c r="C242" s="432" t="s">
        <v>2233</v>
      </c>
      <c r="D242" s="433" t="s">
        <v>301</v>
      </c>
      <c r="E242" s="434"/>
      <c r="F242" s="435"/>
      <c r="G242" s="436">
        <v>-500000</v>
      </c>
      <c r="H242" s="436">
        <f t="shared" si="3"/>
        <v>500</v>
      </c>
      <c r="I242" s="437"/>
      <c r="J242" s="437"/>
      <c r="K242" s="437"/>
      <c r="L242" s="437"/>
      <c r="M242" s="437"/>
      <c r="N242" s="437"/>
      <c r="O242" s="437"/>
      <c r="P242" s="437"/>
      <c r="Q242" s="437"/>
      <c r="R242" s="437"/>
      <c r="S242" s="437"/>
    </row>
    <row r="243" spans="1:19" ht="12.75" customHeight="1" x14ac:dyDescent="0.25">
      <c r="A243" s="431">
        <v>5</v>
      </c>
      <c r="B243" s="431">
        <v>0</v>
      </c>
      <c r="C243" s="432" t="s">
        <v>2234</v>
      </c>
      <c r="D243" s="433" t="s">
        <v>302</v>
      </c>
      <c r="E243" s="434"/>
      <c r="F243" s="435"/>
      <c r="G243" s="436">
        <v>-800000</v>
      </c>
      <c r="H243" s="436">
        <f t="shared" si="3"/>
        <v>800</v>
      </c>
      <c r="I243" s="437"/>
      <c r="J243" s="437"/>
      <c r="K243" s="437"/>
      <c r="L243" s="437"/>
      <c r="M243" s="437"/>
      <c r="N243" s="437"/>
      <c r="O243" s="437"/>
      <c r="P243" s="437"/>
      <c r="Q243" s="437"/>
      <c r="R243" s="437"/>
      <c r="S243" s="437"/>
    </row>
    <row r="244" spans="1:19" ht="12.75" customHeight="1" x14ac:dyDescent="0.25">
      <c r="A244" s="431">
        <v>5</v>
      </c>
      <c r="B244" s="431">
        <v>0</v>
      </c>
      <c r="C244" s="432" t="s">
        <v>2235</v>
      </c>
      <c r="D244" s="433" t="s">
        <v>303</v>
      </c>
      <c r="E244" s="434"/>
      <c r="F244" s="435"/>
      <c r="G244" s="436">
        <v>-4790000</v>
      </c>
      <c r="H244" s="436">
        <f t="shared" si="3"/>
        <v>4790</v>
      </c>
      <c r="I244" s="437"/>
      <c r="J244" s="437"/>
      <c r="K244" s="437"/>
      <c r="L244" s="437"/>
      <c r="M244" s="437"/>
      <c r="N244" s="437"/>
      <c r="O244" s="437"/>
      <c r="P244" s="437"/>
      <c r="Q244" s="437"/>
      <c r="R244" s="437"/>
      <c r="S244" s="437"/>
    </row>
    <row r="245" spans="1:19" ht="12.75" customHeight="1" x14ac:dyDescent="0.25">
      <c r="A245" s="431">
        <v>5</v>
      </c>
      <c r="B245" s="431">
        <v>0</v>
      </c>
      <c r="C245" s="432" t="s">
        <v>2236</v>
      </c>
      <c r="D245" s="433" t="s">
        <v>304</v>
      </c>
      <c r="E245" s="434"/>
      <c r="F245" s="435"/>
      <c r="G245" s="436">
        <v>-1948000</v>
      </c>
      <c r="H245" s="436">
        <f t="shared" si="3"/>
        <v>1948</v>
      </c>
      <c r="I245" s="437"/>
      <c r="J245" s="437"/>
      <c r="K245" s="437"/>
      <c r="L245" s="437"/>
      <c r="M245" s="437"/>
      <c r="N245" s="437"/>
      <c r="O245" s="437"/>
      <c r="P245" s="437"/>
      <c r="Q245" s="437"/>
      <c r="R245" s="437"/>
      <c r="S245" s="437"/>
    </row>
    <row r="246" spans="1:19" ht="12.75" customHeight="1" x14ac:dyDescent="0.25">
      <c r="A246" s="431">
        <v>5</v>
      </c>
      <c r="B246" s="431">
        <v>0</v>
      </c>
      <c r="C246" s="432" t="s">
        <v>2237</v>
      </c>
      <c r="D246" s="433" t="s">
        <v>305</v>
      </c>
      <c r="E246" s="434"/>
      <c r="F246" s="435"/>
      <c r="G246" s="436">
        <v>-500000</v>
      </c>
      <c r="H246" s="436">
        <f t="shared" si="3"/>
        <v>500</v>
      </c>
      <c r="I246" s="437"/>
      <c r="J246" s="437"/>
      <c r="K246" s="437"/>
      <c r="L246" s="437"/>
      <c r="M246" s="437"/>
      <c r="N246" s="437"/>
      <c r="O246" s="437"/>
      <c r="P246" s="437"/>
      <c r="Q246" s="437"/>
      <c r="R246" s="437"/>
      <c r="S246" s="437"/>
    </row>
    <row r="247" spans="1:19" ht="12.75" customHeight="1" x14ac:dyDescent="0.25">
      <c r="A247" s="431">
        <v>5</v>
      </c>
      <c r="B247" s="431">
        <v>0</v>
      </c>
      <c r="C247" s="432" t="s">
        <v>2238</v>
      </c>
      <c r="D247" s="433" t="s">
        <v>306</v>
      </c>
      <c r="E247" s="434"/>
      <c r="F247" s="435"/>
      <c r="G247" s="436">
        <v>-57904240</v>
      </c>
      <c r="H247" s="436">
        <f t="shared" si="3"/>
        <v>57904.24</v>
      </c>
      <c r="I247" s="437"/>
      <c r="J247" s="437"/>
      <c r="K247" s="437"/>
      <c r="L247" s="437"/>
      <c r="M247" s="437"/>
      <c r="N247" s="437"/>
      <c r="O247" s="437"/>
      <c r="P247" s="437"/>
      <c r="Q247" s="437"/>
      <c r="R247" s="437"/>
      <c r="S247" s="437"/>
    </row>
    <row r="248" spans="1:19" ht="12.75" customHeight="1" x14ac:dyDescent="0.25">
      <c r="A248" s="431">
        <v>5</v>
      </c>
      <c r="B248" s="431">
        <v>0</v>
      </c>
      <c r="C248" s="432" t="s">
        <v>2239</v>
      </c>
      <c r="D248" s="433" t="s">
        <v>307</v>
      </c>
      <c r="E248" s="434"/>
      <c r="F248" s="435"/>
      <c r="G248" s="436">
        <v>-1615000</v>
      </c>
      <c r="H248" s="436">
        <f t="shared" si="3"/>
        <v>1615</v>
      </c>
      <c r="I248" s="437"/>
      <c r="J248" s="437"/>
      <c r="K248" s="437"/>
      <c r="L248" s="437"/>
      <c r="M248" s="437"/>
      <c r="N248" s="437"/>
      <c r="O248" s="437"/>
      <c r="P248" s="437"/>
      <c r="Q248" s="437"/>
      <c r="R248" s="437"/>
      <c r="S248" s="437"/>
    </row>
    <row r="249" spans="1:19" ht="12.75" customHeight="1" x14ac:dyDescent="0.25">
      <c r="A249" s="431">
        <v>5</v>
      </c>
      <c r="B249" s="431">
        <v>0</v>
      </c>
      <c r="C249" s="432" t="s">
        <v>2240</v>
      </c>
      <c r="D249" s="433" t="s">
        <v>308</v>
      </c>
      <c r="E249" s="434"/>
      <c r="F249" s="435"/>
      <c r="G249" s="436">
        <v>-400000</v>
      </c>
      <c r="H249" s="436">
        <f t="shared" si="3"/>
        <v>400</v>
      </c>
      <c r="I249" s="437"/>
      <c r="J249" s="437"/>
      <c r="K249" s="437"/>
      <c r="L249" s="437"/>
      <c r="M249" s="437"/>
      <c r="N249" s="437"/>
      <c r="O249" s="437"/>
      <c r="P249" s="437"/>
      <c r="Q249" s="437"/>
      <c r="R249" s="437"/>
      <c r="S249" s="437"/>
    </row>
    <row r="250" spans="1:19" ht="12.75" customHeight="1" x14ac:dyDescent="0.25">
      <c r="A250" s="431">
        <v>5</v>
      </c>
      <c r="B250" s="431">
        <v>0</v>
      </c>
      <c r="C250" s="432" t="s">
        <v>2241</v>
      </c>
      <c r="D250" s="433" t="s">
        <v>309</v>
      </c>
      <c r="E250" s="434"/>
      <c r="F250" s="435"/>
      <c r="G250" s="436">
        <v>-2031000</v>
      </c>
      <c r="H250" s="436">
        <f t="shared" si="3"/>
        <v>2031</v>
      </c>
      <c r="I250" s="437"/>
      <c r="J250" s="437"/>
      <c r="K250" s="437"/>
      <c r="L250" s="437"/>
      <c r="M250" s="437"/>
      <c r="N250" s="437"/>
      <c r="O250" s="437"/>
      <c r="P250" s="437"/>
      <c r="Q250" s="437"/>
      <c r="R250" s="437"/>
      <c r="S250" s="437"/>
    </row>
    <row r="251" spans="1:19" ht="12.75" customHeight="1" x14ac:dyDescent="0.25">
      <c r="A251" s="431">
        <v>5</v>
      </c>
      <c r="B251" s="431">
        <v>0</v>
      </c>
      <c r="C251" s="432" t="s">
        <v>2242</v>
      </c>
      <c r="D251" s="433" t="s">
        <v>310</v>
      </c>
      <c r="E251" s="434"/>
      <c r="F251" s="435"/>
      <c r="G251" s="436">
        <v>-1500000</v>
      </c>
      <c r="H251" s="436">
        <f t="shared" si="3"/>
        <v>1500</v>
      </c>
      <c r="I251" s="437"/>
      <c r="J251" s="437"/>
      <c r="K251" s="437"/>
      <c r="L251" s="437"/>
      <c r="M251" s="437"/>
      <c r="N251" s="437"/>
      <c r="O251" s="437"/>
      <c r="P251" s="437"/>
      <c r="Q251" s="437"/>
      <c r="R251" s="437"/>
      <c r="S251" s="437"/>
    </row>
    <row r="252" spans="1:19" ht="12.75" customHeight="1" x14ac:dyDescent="0.25">
      <c r="A252" s="431">
        <v>5</v>
      </c>
      <c r="B252" s="431">
        <v>0</v>
      </c>
      <c r="C252" s="432" t="s">
        <v>2243</v>
      </c>
      <c r="D252" s="433" t="s">
        <v>311</v>
      </c>
      <c r="E252" s="434"/>
      <c r="F252" s="435"/>
      <c r="G252" s="436">
        <v>-1850000</v>
      </c>
      <c r="H252" s="436">
        <f t="shared" si="3"/>
        <v>1850</v>
      </c>
      <c r="I252" s="437"/>
      <c r="J252" s="437"/>
      <c r="K252" s="437"/>
      <c r="L252" s="437"/>
      <c r="M252" s="437"/>
      <c r="N252" s="437"/>
      <c r="O252" s="437"/>
      <c r="P252" s="437"/>
      <c r="Q252" s="437"/>
      <c r="R252" s="437"/>
      <c r="S252" s="437"/>
    </row>
    <row r="253" spans="1:19" ht="12.75" customHeight="1" x14ac:dyDescent="0.25">
      <c r="A253" s="431">
        <v>5</v>
      </c>
      <c r="B253" s="431">
        <v>0</v>
      </c>
      <c r="C253" s="432" t="s">
        <v>2244</v>
      </c>
      <c r="D253" s="433" t="s">
        <v>2245</v>
      </c>
      <c r="E253" s="434"/>
      <c r="F253" s="435"/>
      <c r="G253" s="436">
        <v>-175000</v>
      </c>
      <c r="H253" s="436">
        <f t="shared" si="3"/>
        <v>175</v>
      </c>
      <c r="I253" s="437"/>
      <c r="J253" s="437"/>
      <c r="K253" s="437"/>
      <c r="L253" s="437"/>
      <c r="M253" s="437"/>
      <c r="N253" s="437"/>
      <c r="O253" s="437"/>
      <c r="P253" s="437"/>
      <c r="Q253" s="437"/>
      <c r="R253" s="437"/>
      <c r="S253" s="437"/>
    </row>
    <row r="254" spans="1:19" ht="12.75" customHeight="1" x14ac:dyDescent="0.25">
      <c r="A254" s="431">
        <v>4</v>
      </c>
      <c r="B254" s="431">
        <v>1</v>
      </c>
      <c r="C254" s="432" t="s">
        <v>2246</v>
      </c>
      <c r="D254" s="433" t="s">
        <v>313</v>
      </c>
      <c r="E254" s="434"/>
      <c r="F254" s="435"/>
      <c r="G254" s="436">
        <v>-500000</v>
      </c>
      <c r="H254" s="436">
        <f t="shared" si="3"/>
        <v>500</v>
      </c>
      <c r="I254" s="437"/>
      <c r="J254" s="437"/>
      <c r="K254" s="437"/>
      <c r="L254" s="437"/>
      <c r="M254" s="437"/>
      <c r="N254" s="437"/>
      <c r="O254" s="437"/>
      <c r="P254" s="437"/>
      <c r="Q254" s="437"/>
      <c r="R254" s="437"/>
      <c r="S254" s="437"/>
    </row>
    <row r="255" spans="1:19" ht="12.75" customHeight="1" x14ac:dyDescent="0.25">
      <c r="A255" s="431">
        <v>5</v>
      </c>
      <c r="B255" s="431">
        <v>0</v>
      </c>
      <c r="C255" s="432" t="s">
        <v>2247</v>
      </c>
      <c r="D255" s="433" t="s">
        <v>314</v>
      </c>
      <c r="E255" s="434"/>
      <c r="F255" s="435"/>
      <c r="G255" s="436">
        <v>-500000</v>
      </c>
      <c r="H255" s="436">
        <f t="shared" si="3"/>
        <v>500</v>
      </c>
      <c r="I255" s="437"/>
      <c r="J255" s="437"/>
      <c r="K255" s="437"/>
      <c r="L255" s="437"/>
      <c r="M255" s="437"/>
      <c r="N255" s="437"/>
      <c r="O255" s="437"/>
      <c r="P255" s="437"/>
      <c r="Q255" s="437"/>
      <c r="R255" s="437"/>
      <c r="S255" s="437"/>
    </row>
    <row r="256" spans="1:19" ht="12.75" customHeight="1" x14ac:dyDescent="0.25">
      <c r="A256" s="431">
        <v>2</v>
      </c>
      <c r="B256" s="431">
        <v>3</v>
      </c>
      <c r="C256" s="432" t="s">
        <v>322</v>
      </c>
      <c r="D256" s="433" t="s">
        <v>323</v>
      </c>
      <c r="E256" s="434"/>
      <c r="F256" s="435"/>
      <c r="G256" s="436">
        <v>-3441235992.7846999</v>
      </c>
      <c r="H256" s="436">
        <f t="shared" si="3"/>
        <v>3441235.9927846999</v>
      </c>
      <c r="I256" s="437"/>
      <c r="J256" s="437"/>
      <c r="K256" s="437"/>
      <c r="L256" s="437"/>
      <c r="M256" s="437"/>
      <c r="N256" s="437"/>
      <c r="O256" s="437"/>
      <c r="P256" s="437"/>
      <c r="Q256" s="437"/>
      <c r="R256" s="437"/>
      <c r="S256" s="437"/>
    </row>
    <row r="257" spans="1:19" ht="12.75" customHeight="1" x14ac:dyDescent="0.25">
      <c r="A257" s="431">
        <v>3</v>
      </c>
      <c r="B257" s="431">
        <v>2</v>
      </c>
      <c r="C257" s="432" t="s">
        <v>324</v>
      </c>
      <c r="D257" s="433" t="s">
        <v>325</v>
      </c>
      <c r="E257" s="434"/>
      <c r="F257" s="435"/>
      <c r="G257" s="436">
        <v>-2532879589.599</v>
      </c>
      <c r="H257" s="436">
        <f t="shared" si="3"/>
        <v>2532879.5895989998</v>
      </c>
      <c r="I257" s="437"/>
      <c r="J257" s="437"/>
      <c r="K257" s="437"/>
      <c r="L257" s="437"/>
      <c r="M257" s="437"/>
      <c r="N257" s="437"/>
      <c r="O257" s="437"/>
      <c r="P257" s="437"/>
      <c r="Q257" s="437"/>
      <c r="R257" s="437"/>
      <c r="S257" s="437"/>
    </row>
    <row r="258" spans="1:19" ht="12.75" customHeight="1" x14ac:dyDescent="0.25">
      <c r="A258" s="431">
        <v>4</v>
      </c>
      <c r="B258" s="431">
        <v>1</v>
      </c>
      <c r="C258" s="432" t="s">
        <v>2248</v>
      </c>
      <c r="D258" s="433" t="s">
        <v>328</v>
      </c>
      <c r="E258" s="434"/>
      <c r="F258" s="435"/>
      <c r="G258" s="436">
        <v>-2493773864.599</v>
      </c>
      <c r="H258" s="436">
        <f t="shared" si="3"/>
        <v>2493773.8645990002</v>
      </c>
      <c r="I258" s="437"/>
      <c r="J258" s="437"/>
      <c r="K258" s="437"/>
      <c r="L258" s="437"/>
      <c r="M258" s="437"/>
      <c r="N258" s="437"/>
      <c r="O258" s="437"/>
      <c r="P258" s="437"/>
      <c r="Q258" s="437"/>
      <c r="R258" s="437"/>
      <c r="S258" s="437"/>
    </row>
    <row r="259" spans="1:19" ht="12.75" customHeight="1" x14ac:dyDescent="0.25">
      <c r="A259" s="431">
        <v>5</v>
      </c>
      <c r="B259" s="431">
        <v>0</v>
      </c>
      <c r="C259" s="432" t="s">
        <v>2249</v>
      </c>
      <c r="D259" s="433" t="s">
        <v>329</v>
      </c>
      <c r="E259" s="434"/>
      <c r="F259" s="435"/>
      <c r="G259" s="436">
        <v>-2493773864.599</v>
      </c>
      <c r="H259" s="436">
        <f t="shared" si="3"/>
        <v>2493773.8645990002</v>
      </c>
      <c r="I259" s="437"/>
      <c r="J259" s="437"/>
      <c r="K259" s="437"/>
      <c r="L259" s="437"/>
      <c r="M259" s="437"/>
      <c r="N259" s="437"/>
      <c r="O259" s="437"/>
      <c r="P259" s="437"/>
      <c r="Q259" s="437"/>
      <c r="R259" s="437"/>
      <c r="S259" s="437"/>
    </row>
    <row r="260" spans="1:19" ht="12.75" customHeight="1" x14ac:dyDescent="0.25">
      <c r="A260" s="431">
        <v>4</v>
      </c>
      <c r="B260" s="431">
        <v>1</v>
      </c>
      <c r="C260" s="432" t="s">
        <v>2250</v>
      </c>
      <c r="D260" s="433" t="s">
        <v>338</v>
      </c>
      <c r="E260" s="434"/>
      <c r="F260" s="435"/>
      <c r="G260" s="436">
        <v>-27239515</v>
      </c>
      <c r="H260" s="436">
        <f t="shared" si="3"/>
        <v>27239.514999999999</v>
      </c>
      <c r="I260" s="437"/>
      <c r="J260" s="437"/>
      <c r="K260" s="437"/>
      <c r="L260" s="437"/>
      <c r="M260" s="437"/>
      <c r="N260" s="437"/>
      <c r="O260" s="437"/>
      <c r="P260" s="437"/>
      <c r="Q260" s="437"/>
      <c r="R260" s="437"/>
      <c r="S260" s="437"/>
    </row>
    <row r="261" spans="1:19" ht="12.75" customHeight="1" x14ac:dyDescent="0.25">
      <c r="A261" s="431">
        <v>5</v>
      </c>
      <c r="B261" s="431">
        <v>0</v>
      </c>
      <c r="C261" s="432" t="s">
        <v>2251</v>
      </c>
      <c r="D261" s="433" t="s">
        <v>339</v>
      </c>
      <c r="E261" s="434"/>
      <c r="F261" s="435"/>
      <c r="G261" s="436">
        <v>-27239515</v>
      </c>
      <c r="H261" s="436">
        <f t="shared" si="3"/>
        <v>27239.514999999999</v>
      </c>
      <c r="I261" s="437"/>
      <c r="J261" s="437"/>
      <c r="K261" s="437"/>
      <c r="L261" s="437"/>
      <c r="M261" s="437"/>
      <c r="N261" s="437"/>
      <c r="O261" s="437"/>
      <c r="P261" s="437"/>
      <c r="Q261" s="437"/>
      <c r="R261" s="437"/>
      <c r="S261" s="437"/>
    </row>
    <row r="262" spans="1:19" ht="12.75" customHeight="1" x14ac:dyDescent="0.25">
      <c r="A262" s="431">
        <v>4</v>
      </c>
      <c r="B262" s="431">
        <v>1</v>
      </c>
      <c r="C262" s="432" t="s">
        <v>2252</v>
      </c>
      <c r="D262" s="433" t="s">
        <v>342</v>
      </c>
      <c r="E262" s="434"/>
      <c r="F262" s="435"/>
      <c r="G262" s="436">
        <v>-7360880</v>
      </c>
      <c r="H262" s="436">
        <f t="shared" si="3"/>
        <v>7360.88</v>
      </c>
      <c r="I262" s="437"/>
      <c r="J262" s="437"/>
      <c r="K262" s="437"/>
      <c r="L262" s="437"/>
      <c r="M262" s="437"/>
      <c r="N262" s="437"/>
      <c r="O262" s="437"/>
      <c r="P262" s="437"/>
      <c r="Q262" s="437"/>
      <c r="R262" s="437"/>
      <c r="S262" s="437"/>
    </row>
    <row r="263" spans="1:19" ht="12.75" customHeight="1" x14ac:dyDescent="0.25">
      <c r="A263" s="431">
        <v>5</v>
      </c>
      <c r="B263" s="431">
        <v>0</v>
      </c>
      <c r="C263" s="432" t="s">
        <v>2253</v>
      </c>
      <c r="D263" s="433" t="s">
        <v>343</v>
      </c>
      <c r="E263" s="434"/>
      <c r="F263" s="435"/>
      <c r="G263" s="436">
        <v>-7360880</v>
      </c>
      <c r="H263" s="436">
        <f t="shared" si="3"/>
        <v>7360.88</v>
      </c>
      <c r="I263" s="437"/>
      <c r="J263" s="437"/>
      <c r="K263" s="437"/>
      <c r="L263" s="437"/>
      <c r="M263" s="437"/>
      <c r="N263" s="437"/>
      <c r="O263" s="437"/>
      <c r="P263" s="437"/>
      <c r="Q263" s="437"/>
      <c r="R263" s="437"/>
      <c r="S263" s="437"/>
    </row>
    <row r="264" spans="1:19" ht="12.75" customHeight="1" x14ac:dyDescent="0.25">
      <c r="A264" s="431">
        <v>4</v>
      </c>
      <c r="B264" s="431">
        <v>1</v>
      </c>
      <c r="C264" s="432" t="s">
        <v>2254</v>
      </c>
      <c r="D264" s="433" t="s">
        <v>344</v>
      </c>
      <c r="E264" s="434"/>
      <c r="F264" s="435"/>
      <c r="G264" s="436">
        <v>-4505330</v>
      </c>
      <c r="H264" s="436">
        <f t="shared" si="3"/>
        <v>4505.33</v>
      </c>
      <c r="I264" s="437"/>
      <c r="J264" s="437"/>
      <c r="K264" s="437"/>
      <c r="L264" s="437"/>
      <c r="M264" s="437"/>
      <c r="N264" s="437"/>
      <c r="O264" s="437"/>
      <c r="P264" s="437"/>
      <c r="Q264" s="437"/>
      <c r="R264" s="437"/>
      <c r="S264" s="437"/>
    </row>
    <row r="265" spans="1:19" ht="12.75" customHeight="1" x14ac:dyDescent="0.25">
      <c r="A265" s="431">
        <v>5</v>
      </c>
      <c r="B265" s="431">
        <v>0</v>
      </c>
      <c r="C265" s="432" t="s">
        <v>2255</v>
      </c>
      <c r="D265" s="433" t="s">
        <v>345</v>
      </c>
      <c r="E265" s="434"/>
      <c r="F265" s="435"/>
      <c r="G265" s="436">
        <v>-4505330</v>
      </c>
      <c r="H265" s="436">
        <f t="shared" si="3"/>
        <v>4505.33</v>
      </c>
      <c r="I265" s="437"/>
      <c r="J265" s="437"/>
      <c r="K265" s="437"/>
      <c r="L265" s="437"/>
      <c r="M265" s="437"/>
      <c r="N265" s="437"/>
      <c r="O265" s="437"/>
      <c r="P265" s="437"/>
      <c r="Q265" s="437"/>
      <c r="R265" s="437"/>
      <c r="S265" s="437"/>
    </row>
    <row r="266" spans="1:19" ht="12.75" customHeight="1" x14ac:dyDescent="0.25">
      <c r="A266" s="431">
        <v>3</v>
      </c>
      <c r="B266" s="431">
        <v>2</v>
      </c>
      <c r="C266" s="432" t="s">
        <v>355</v>
      </c>
      <c r="D266" s="433" t="s">
        <v>356</v>
      </c>
      <c r="E266" s="434"/>
      <c r="F266" s="435"/>
      <c r="G266" s="436">
        <v>-847224961.18450296</v>
      </c>
      <c r="H266" s="436">
        <f t="shared" si="3"/>
        <v>847224.96118450293</v>
      </c>
      <c r="I266" s="437"/>
      <c r="J266" s="437"/>
      <c r="K266" s="437"/>
      <c r="L266" s="437"/>
      <c r="M266" s="437"/>
      <c r="N266" s="437"/>
      <c r="O266" s="437"/>
      <c r="P266" s="437"/>
      <c r="Q266" s="437"/>
      <c r="R266" s="437"/>
      <c r="S266" s="437"/>
    </row>
    <row r="267" spans="1:19" ht="12.75" customHeight="1" x14ac:dyDescent="0.25">
      <c r="A267" s="431">
        <v>4</v>
      </c>
      <c r="B267" s="431">
        <v>1</v>
      </c>
      <c r="C267" s="432" t="s">
        <v>2256</v>
      </c>
      <c r="D267" s="433" t="s">
        <v>359</v>
      </c>
      <c r="E267" s="434"/>
      <c r="F267" s="435"/>
      <c r="G267" s="436">
        <v>-227245848.94760001</v>
      </c>
      <c r="H267" s="436">
        <f t="shared" si="3"/>
        <v>227245.8489476</v>
      </c>
      <c r="I267" s="437"/>
      <c r="J267" s="437"/>
      <c r="K267" s="437"/>
      <c r="L267" s="437"/>
      <c r="M267" s="437"/>
      <c r="N267" s="437"/>
      <c r="O267" s="437"/>
      <c r="P267" s="437"/>
      <c r="Q267" s="437"/>
      <c r="R267" s="437"/>
      <c r="S267" s="437"/>
    </row>
    <row r="268" spans="1:19" ht="12.75" customHeight="1" x14ac:dyDescent="0.25">
      <c r="A268" s="431">
        <v>5</v>
      </c>
      <c r="B268" s="431">
        <v>0</v>
      </c>
      <c r="C268" s="432" t="s">
        <v>2257</v>
      </c>
      <c r="D268" s="433" t="s">
        <v>360</v>
      </c>
      <c r="E268" s="434"/>
      <c r="F268" s="435"/>
      <c r="G268" s="436">
        <v>-227245848.94760001</v>
      </c>
      <c r="H268" s="436">
        <f t="shared" ref="H268:H331" si="4">+G268/1000*-1</f>
        <v>227245.8489476</v>
      </c>
      <c r="I268" s="437"/>
      <c r="J268" s="437"/>
      <c r="K268" s="437"/>
      <c r="L268" s="437"/>
      <c r="M268" s="437"/>
      <c r="N268" s="437"/>
      <c r="O268" s="437"/>
      <c r="P268" s="437"/>
      <c r="Q268" s="437"/>
      <c r="R268" s="437"/>
      <c r="S268" s="437"/>
    </row>
    <row r="269" spans="1:19" ht="12.75" customHeight="1" x14ac:dyDescent="0.25">
      <c r="A269" s="431">
        <v>4</v>
      </c>
      <c r="B269" s="431">
        <v>1</v>
      </c>
      <c r="C269" s="432" t="s">
        <v>2258</v>
      </c>
      <c r="D269" s="433" t="s">
        <v>361</v>
      </c>
      <c r="E269" s="434"/>
      <c r="F269" s="435"/>
      <c r="G269" s="436">
        <v>-619979112.23690295</v>
      </c>
      <c r="H269" s="436">
        <f t="shared" si="4"/>
        <v>619979.11223690293</v>
      </c>
      <c r="I269" s="437"/>
      <c r="J269" s="437"/>
      <c r="K269" s="437"/>
      <c r="L269" s="437"/>
      <c r="M269" s="437"/>
      <c r="N269" s="437"/>
      <c r="O269" s="437"/>
      <c r="P269" s="437"/>
      <c r="Q269" s="437"/>
      <c r="R269" s="437"/>
      <c r="S269" s="437"/>
    </row>
    <row r="270" spans="1:19" ht="12.75" customHeight="1" x14ac:dyDescent="0.25">
      <c r="A270" s="431">
        <v>5</v>
      </c>
      <c r="B270" s="431">
        <v>0</v>
      </c>
      <c r="C270" s="432" t="s">
        <v>2259</v>
      </c>
      <c r="D270" s="433" t="s">
        <v>362</v>
      </c>
      <c r="E270" s="434"/>
      <c r="F270" s="435"/>
      <c r="G270" s="436">
        <v>-619979112.23690295</v>
      </c>
      <c r="H270" s="436">
        <f t="shared" si="4"/>
        <v>619979.11223690293</v>
      </c>
      <c r="I270" s="437"/>
      <c r="J270" s="437"/>
      <c r="K270" s="437"/>
      <c r="L270" s="437"/>
      <c r="M270" s="437"/>
      <c r="N270" s="437"/>
      <c r="O270" s="437"/>
      <c r="P270" s="437"/>
      <c r="Q270" s="437"/>
      <c r="R270" s="437"/>
      <c r="S270" s="437"/>
    </row>
    <row r="271" spans="1:19" ht="12.75" customHeight="1" x14ac:dyDescent="0.25">
      <c r="A271" s="431">
        <v>3</v>
      </c>
      <c r="B271" s="431">
        <v>2</v>
      </c>
      <c r="C271" s="432" t="s">
        <v>370</v>
      </c>
      <c r="D271" s="433" t="s">
        <v>1951</v>
      </c>
      <c r="E271" s="434"/>
      <c r="F271" s="435"/>
      <c r="G271" s="436">
        <v>-10473850.231799999</v>
      </c>
      <c r="H271" s="436">
        <f t="shared" si="4"/>
        <v>10473.850231799999</v>
      </c>
      <c r="I271" s="437"/>
      <c r="J271" s="437"/>
      <c r="K271" s="437"/>
      <c r="L271" s="437"/>
      <c r="M271" s="437"/>
      <c r="N271" s="437"/>
      <c r="O271" s="437"/>
      <c r="P271" s="437"/>
      <c r="Q271" s="437"/>
      <c r="R271" s="437"/>
      <c r="S271" s="437"/>
    </row>
    <row r="272" spans="1:19" ht="12.75" customHeight="1" x14ac:dyDescent="0.25">
      <c r="A272" s="431">
        <v>4</v>
      </c>
      <c r="B272" s="431">
        <v>1</v>
      </c>
      <c r="C272" s="432" t="s">
        <v>2260</v>
      </c>
      <c r="D272" s="433" t="s">
        <v>372</v>
      </c>
      <c r="E272" s="434"/>
      <c r="F272" s="435"/>
      <c r="G272" s="436">
        <v>-10473850.231799999</v>
      </c>
      <c r="H272" s="436">
        <f t="shared" si="4"/>
        <v>10473.850231799999</v>
      </c>
      <c r="I272" s="437"/>
      <c r="J272" s="437"/>
      <c r="K272" s="437"/>
      <c r="L272" s="437"/>
      <c r="M272" s="437"/>
      <c r="N272" s="437"/>
      <c r="O272" s="437"/>
      <c r="P272" s="437"/>
      <c r="Q272" s="437"/>
      <c r="R272" s="437"/>
      <c r="S272" s="437"/>
    </row>
    <row r="273" spans="1:19" ht="12.75" customHeight="1" x14ac:dyDescent="0.25">
      <c r="A273" s="431">
        <v>5</v>
      </c>
      <c r="B273" s="431">
        <v>0</v>
      </c>
      <c r="C273" s="432" t="s">
        <v>2261</v>
      </c>
      <c r="D273" s="433" t="s">
        <v>373</v>
      </c>
      <c r="E273" s="434"/>
      <c r="F273" s="435"/>
      <c r="G273" s="436">
        <v>-10473850.231799999</v>
      </c>
      <c r="H273" s="436">
        <f t="shared" si="4"/>
        <v>10473.850231799999</v>
      </c>
      <c r="I273" s="437"/>
      <c r="J273" s="437"/>
      <c r="K273" s="437"/>
      <c r="L273" s="437"/>
      <c r="M273" s="437"/>
      <c r="N273" s="437"/>
      <c r="O273" s="437"/>
      <c r="P273" s="437"/>
      <c r="Q273" s="437"/>
      <c r="R273" s="437"/>
      <c r="S273" s="437"/>
    </row>
    <row r="274" spans="1:19" ht="12.75" customHeight="1" x14ac:dyDescent="0.25">
      <c r="A274" s="431">
        <v>3</v>
      </c>
      <c r="B274" s="431">
        <v>2</v>
      </c>
      <c r="C274" s="432" t="s">
        <v>376</v>
      </c>
      <c r="D274" s="433" t="s">
        <v>1950</v>
      </c>
      <c r="E274" s="434"/>
      <c r="F274" s="435"/>
      <c r="G274" s="436">
        <v>-50657591.769400097</v>
      </c>
      <c r="H274" s="436">
        <f t="shared" si="4"/>
        <v>50657.591769400096</v>
      </c>
      <c r="I274" s="437"/>
      <c r="J274" s="437"/>
      <c r="K274" s="437"/>
      <c r="L274" s="437"/>
      <c r="M274" s="437"/>
      <c r="N274" s="437"/>
      <c r="O274" s="437"/>
      <c r="P274" s="437"/>
      <c r="Q274" s="437"/>
      <c r="R274" s="437"/>
      <c r="S274" s="437"/>
    </row>
    <row r="275" spans="1:19" ht="12.75" customHeight="1" x14ac:dyDescent="0.25">
      <c r="A275" s="431">
        <v>4</v>
      </c>
      <c r="B275" s="431">
        <v>1</v>
      </c>
      <c r="C275" s="432" t="s">
        <v>2262</v>
      </c>
      <c r="D275" s="433" t="s">
        <v>380</v>
      </c>
      <c r="E275" s="434"/>
      <c r="F275" s="435"/>
      <c r="G275" s="436">
        <v>-50657591.769400097</v>
      </c>
      <c r="H275" s="436">
        <f t="shared" si="4"/>
        <v>50657.591769400096</v>
      </c>
      <c r="I275" s="437"/>
      <c r="J275" s="437"/>
      <c r="K275" s="437"/>
      <c r="L275" s="437"/>
      <c r="M275" s="437"/>
      <c r="N275" s="437"/>
      <c r="O275" s="437"/>
      <c r="P275" s="437"/>
      <c r="Q275" s="437"/>
      <c r="R275" s="437"/>
      <c r="S275" s="437"/>
    </row>
    <row r="276" spans="1:19" ht="12.75" customHeight="1" x14ac:dyDescent="0.25">
      <c r="A276" s="431">
        <v>5</v>
      </c>
      <c r="B276" s="431">
        <v>0</v>
      </c>
      <c r="C276" s="432" t="s">
        <v>2263</v>
      </c>
      <c r="D276" s="433" t="s">
        <v>381</v>
      </c>
      <c r="E276" s="434"/>
      <c r="F276" s="435"/>
      <c r="G276" s="436">
        <v>-50657591.769400097</v>
      </c>
      <c r="H276" s="436">
        <f t="shared" si="4"/>
        <v>50657.591769400096</v>
      </c>
      <c r="I276" s="437"/>
      <c r="J276" s="437"/>
      <c r="K276" s="437"/>
      <c r="L276" s="437"/>
      <c r="M276" s="437"/>
      <c r="N276" s="437"/>
      <c r="O276" s="437"/>
      <c r="P276" s="437"/>
      <c r="Q276" s="437"/>
      <c r="R276" s="437"/>
      <c r="S276" s="437"/>
    </row>
    <row r="277" spans="1:19" ht="12.75" customHeight="1" x14ac:dyDescent="0.25">
      <c r="A277" s="431">
        <v>2</v>
      </c>
      <c r="B277" s="431">
        <v>3</v>
      </c>
      <c r="C277" s="432" t="s">
        <v>388</v>
      </c>
      <c r="D277" s="433" t="s">
        <v>389</v>
      </c>
      <c r="E277" s="434"/>
      <c r="F277" s="435"/>
      <c r="G277" s="436">
        <v>-221000</v>
      </c>
      <c r="H277" s="436">
        <f t="shared" si="4"/>
        <v>221</v>
      </c>
      <c r="I277" s="437"/>
      <c r="J277" s="437"/>
      <c r="K277" s="437"/>
      <c r="L277" s="437"/>
      <c r="M277" s="437"/>
      <c r="N277" s="437"/>
      <c r="O277" s="437"/>
      <c r="P277" s="437"/>
      <c r="Q277" s="437"/>
      <c r="R277" s="437"/>
      <c r="S277" s="437"/>
    </row>
    <row r="278" spans="1:19" ht="12.75" customHeight="1" x14ac:dyDescent="0.25">
      <c r="A278" s="431">
        <v>3</v>
      </c>
      <c r="B278" s="431">
        <v>2</v>
      </c>
      <c r="C278" s="432" t="s">
        <v>390</v>
      </c>
      <c r="D278" s="433" t="s">
        <v>391</v>
      </c>
      <c r="E278" s="434"/>
      <c r="F278" s="435"/>
      <c r="G278" s="436">
        <v>-110000</v>
      </c>
      <c r="H278" s="436">
        <f t="shared" si="4"/>
        <v>110</v>
      </c>
      <c r="I278" s="437"/>
      <c r="J278" s="437"/>
      <c r="K278" s="437"/>
      <c r="L278" s="437"/>
      <c r="M278" s="437"/>
      <c r="N278" s="437"/>
      <c r="O278" s="437"/>
      <c r="P278" s="437"/>
      <c r="Q278" s="437"/>
      <c r="R278" s="437"/>
      <c r="S278" s="437"/>
    </row>
    <row r="279" spans="1:19" ht="12.75" customHeight="1" x14ac:dyDescent="0.25">
      <c r="A279" s="431">
        <v>4</v>
      </c>
      <c r="B279" s="431">
        <v>1</v>
      </c>
      <c r="C279" s="432" t="s">
        <v>2264</v>
      </c>
      <c r="D279" s="433" t="s">
        <v>392</v>
      </c>
      <c r="E279" s="434"/>
      <c r="F279" s="435"/>
      <c r="G279" s="436">
        <v>-110000</v>
      </c>
      <c r="H279" s="436">
        <f t="shared" si="4"/>
        <v>110</v>
      </c>
      <c r="I279" s="437"/>
      <c r="J279" s="437"/>
      <c r="K279" s="437"/>
      <c r="L279" s="437"/>
      <c r="M279" s="437"/>
      <c r="N279" s="437"/>
      <c r="O279" s="437"/>
      <c r="P279" s="437"/>
      <c r="Q279" s="437"/>
      <c r="R279" s="437"/>
      <c r="S279" s="437"/>
    </row>
    <row r="280" spans="1:19" ht="12.75" customHeight="1" x14ac:dyDescent="0.25">
      <c r="A280" s="431">
        <v>5</v>
      </c>
      <c r="B280" s="431">
        <v>0</v>
      </c>
      <c r="C280" s="432" t="s">
        <v>2265</v>
      </c>
      <c r="D280" s="433" t="s">
        <v>393</v>
      </c>
      <c r="E280" s="434"/>
      <c r="F280" s="435"/>
      <c r="G280" s="436">
        <v>-110000</v>
      </c>
      <c r="H280" s="436">
        <f t="shared" si="4"/>
        <v>110</v>
      </c>
      <c r="I280" s="437"/>
      <c r="J280" s="437"/>
      <c r="K280" s="437"/>
      <c r="L280" s="437"/>
      <c r="M280" s="437"/>
      <c r="N280" s="437"/>
      <c r="O280" s="437"/>
      <c r="P280" s="437"/>
      <c r="Q280" s="437"/>
      <c r="R280" s="437"/>
      <c r="S280" s="437"/>
    </row>
    <row r="281" spans="1:19" ht="12.75" customHeight="1" x14ac:dyDescent="0.25">
      <c r="A281" s="431">
        <v>3</v>
      </c>
      <c r="B281" s="431">
        <v>2</v>
      </c>
      <c r="C281" s="432" t="s">
        <v>394</v>
      </c>
      <c r="D281" s="433" t="s">
        <v>395</v>
      </c>
      <c r="E281" s="434"/>
      <c r="F281" s="435"/>
      <c r="G281" s="436">
        <v>-86000</v>
      </c>
      <c r="H281" s="436">
        <f t="shared" si="4"/>
        <v>86</v>
      </c>
      <c r="I281" s="437"/>
      <c r="J281" s="437"/>
      <c r="K281" s="437"/>
      <c r="L281" s="437"/>
      <c r="M281" s="437"/>
      <c r="N281" s="437"/>
      <c r="O281" s="437"/>
      <c r="P281" s="437"/>
      <c r="Q281" s="437"/>
      <c r="R281" s="437"/>
      <c r="S281" s="437"/>
    </row>
    <row r="282" spans="1:19" ht="12.75" customHeight="1" x14ac:dyDescent="0.25">
      <c r="A282" s="431">
        <v>4</v>
      </c>
      <c r="B282" s="431">
        <v>1</v>
      </c>
      <c r="C282" s="432" t="s">
        <v>2266</v>
      </c>
      <c r="D282" s="433" t="s">
        <v>396</v>
      </c>
      <c r="E282" s="434"/>
      <c r="F282" s="435"/>
      <c r="G282" s="436">
        <v>-86000</v>
      </c>
      <c r="H282" s="436">
        <f t="shared" si="4"/>
        <v>86</v>
      </c>
      <c r="I282" s="437"/>
      <c r="J282" s="437"/>
      <c r="K282" s="437"/>
      <c r="L282" s="437"/>
      <c r="M282" s="437"/>
      <c r="N282" s="437"/>
      <c r="O282" s="437"/>
      <c r="P282" s="437"/>
      <c r="Q282" s="437"/>
      <c r="R282" s="437"/>
      <c r="S282" s="437"/>
    </row>
    <row r="283" spans="1:19" ht="12.75" customHeight="1" x14ac:dyDescent="0.25">
      <c r="A283" s="431">
        <v>5</v>
      </c>
      <c r="B283" s="431">
        <v>0</v>
      </c>
      <c r="C283" s="432" t="s">
        <v>2267</v>
      </c>
      <c r="D283" s="433" t="s">
        <v>397</v>
      </c>
      <c r="E283" s="434"/>
      <c r="F283" s="435"/>
      <c r="G283" s="436">
        <v>-86000</v>
      </c>
      <c r="H283" s="436">
        <f t="shared" si="4"/>
        <v>86</v>
      </c>
      <c r="I283" s="437"/>
      <c r="J283" s="437"/>
      <c r="K283" s="437"/>
      <c r="L283" s="437"/>
      <c r="M283" s="437"/>
      <c r="N283" s="437"/>
      <c r="O283" s="437"/>
      <c r="P283" s="437"/>
      <c r="Q283" s="437"/>
      <c r="R283" s="437"/>
      <c r="S283" s="437"/>
    </row>
    <row r="284" spans="1:19" ht="12.75" customHeight="1" x14ac:dyDescent="0.25">
      <c r="A284" s="431">
        <v>3</v>
      </c>
      <c r="B284" s="431">
        <v>2</v>
      </c>
      <c r="C284" s="432" t="s">
        <v>398</v>
      </c>
      <c r="D284" s="433" t="s">
        <v>1953</v>
      </c>
      <c r="E284" s="434"/>
      <c r="F284" s="435"/>
      <c r="G284" s="436">
        <v>-25000</v>
      </c>
      <c r="H284" s="436">
        <f t="shared" si="4"/>
        <v>25</v>
      </c>
      <c r="I284" s="437"/>
      <c r="J284" s="437"/>
      <c r="K284" s="437"/>
      <c r="L284" s="437"/>
      <c r="M284" s="437"/>
      <c r="N284" s="437"/>
      <c r="O284" s="437"/>
      <c r="P284" s="437"/>
      <c r="Q284" s="437"/>
      <c r="R284" s="437"/>
      <c r="S284" s="437"/>
    </row>
    <row r="285" spans="1:19" ht="12.75" customHeight="1" x14ac:dyDescent="0.25">
      <c r="A285" s="431">
        <v>4</v>
      </c>
      <c r="B285" s="431">
        <v>1</v>
      </c>
      <c r="C285" s="432" t="s">
        <v>2268</v>
      </c>
      <c r="D285" s="433" t="s">
        <v>400</v>
      </c>
      <c r="E285" s="434"/>
      <c r="F285" s="435"/>
      <c r="G285" s="436">
        <v>-25000</v>
      </c>
      <c r="H285" s="436">
        <f t="shared" si="4"/>
        <v>25</v>
      </c>
      <c r="I285" s="437"/>
      <c r="J285" s="437"/>
      <c r="K285" s="437"/>
      <c r="L285" s="437"/>
      <c r="M285" s="437"/>
      <c r="N285" s="437"/>
      <c r="O285" s="437"/>
      <c r="P285" s="437"/>
      <c r="Q285" s="437"/>
      <c r="R285" s="437"/>
      <c r="S285" s="437"/>
    </row>
    <row r="286" spans="1:19" ht="12.75" customHeight="1" x14ac:dyDescent="0.25">
      <c r="A286" s="431">
        <v>5</v>
      </c>
      <c r="B286" s="431">
        <v>0</v>
      </c>
      <c r="C286" s="432" t="s">
        <v>2269</v>
      </c>
      <c r="D286" s="433" t="s">
        <v>404</v>
      </c>
      <c r="E286" s="434"/>
      <c r="F286" s="435"/>
      <c r="G286" s="436">
        <v>-25000</v>
      </c>
      <c r="H286" s="436">
        <f t="shared" si="4"/>
        <v>25</v>
      </c>
      <c r="I286" s="437"/>
      <c r="J286" s="437"/>
      <c r="K286" s="437"/>
      <c r="L286" s="437"/>
      <c r="M286" s="437"/>
      <c r="N286" s="437"/>
      <c r="O286" s="437"/>
      <c r="P286" s="437"/>
      <c r="Q286" s="437"/>
      <c r="R286" s="437"/>
      <c r="S286" s="437"/>
    </row>
    <row r="287" spans="1:19" ht="12.75" customHeight="1" x14ac:dyDescent="0.25">
      <c r="A287" s="431">
        <v>2</v>
      </c>
      <c r="B287" s="431">
        <v>3</v>
      </c>
      <c r="C287" s="432" t="s">
        <v>406</v>
      </c>
      <c r="D287" s="433" t="s">
        <v>407</v>
      </c>
      <c r="E287" s="434"/>
      <c r="F287" s="435"/>
      <c r="G287" s="436">
        <v>-66634456</v>
      </c>
      <c r="H287" s="436">
        <f t="shared" si="4"/>
        <v>66634.456000000006</v>
      </c>
      <c r="I287" s="437"/>
      <c r="J287" s="437"/>
      <c r="K287" s="437"/>
      <c r="L287" s="437"/>
      <c r="M287" s="437"/>
      <c r="N287" s="437"/>
      <c r="O287" s="437"/>
      <c r="P287" s="437"/>
      <c r="Q287" s="437"/>
      <c r="R287" s="437"/>
      <c r="S287" s="437"/>
    </row>
    <row r="288" spans="1:19" ht="12.75" customHeight="1" x14ac:dyDescent="0.25">
      <c r="A288" s="431">
        <v>3</v>
      </c>
      <c r="B288" s="431">
        <v>2</v>
      </c>
      <c r="C288" s="432" t="s">
        <v>414</v>
      </c>
      <c r="D288" s="433" t="s">
        <v>1970</v>
      </c>
      <c r="E288" s="434"/>
      <c r="F288" s="435"/>
      <c r="G288" s="436">
        <v>-1000000</v>
      </c>
      <c r="H288" s="436">
        <f t="shared" si="4"/>
        <v>1000</v>
      </c>
      <c r="I288" s="437"/>
      <c r="J288" s="437"/>
      <c r="K288" s="437"/>
      <c r="L288" s="437"/>
      <c r="M288" s="437"/>
      <c r="N288" s="437"/>
      <c r="O288" s="437"/>
      <c r="P288" s="437"/>
      <c r="Q288" s="437"/>
      <c r="R288" s="437"/>
      <c r="S288" s="437"/>
    </row>
    <row r="289" spans="1:19" ht="12.75" customHeight="1" x14ac:dyDescent="0.25">
      <c r="A289" s="431">
        <v>4</v>
      </c>
      <c r="B289" s="431">
        <v>1</v>
      </c>
      <c r="C289" s="432" t="s">
        <v>2270</v>
      </c>
      <c r="D289" s="433" t="s">
        <v>416</v>
      </c>
      <c r="E289" s="434"/>
      <c r="F289" s="435"/>
      <c r="G289" s="436">
        <v>-1000000</v>
      </c>
      <c r="H289" s="436">
        <f t="shared" si="4"/>
        <v>1000</v>
      </c>
      <c r="I289" s="437"/>
      <c r="J289" s="437"/>
      <c r="K289" s="437"/>
      <c r="L289" s="437"/>
      <c r="M289" s="437"/>
      <c r="N289" s="437"/>
      <c r="O289" s="437"/>
      <c r="P289" s="437"/>
      <c r="Q289" s="437"/>
      <c r="R289" s="437"/>
      <c r="S289" s="437"/>
    </row>
    <row r="290" spans="1:19" ht="12.75" customHeight="1" x14ac:dyDescent="0.25">
      <c r="A290" s="431">
        <v>5</v>
      </c>
      <c r="B290" s="431">
        <v>0</v>
      </c>
      <c r="C290" s="432" t="s">
        <v>2271</v>
      </c>
      <c r="D290" s="433" t="s">
        <v>2272</v>
      </c>
      <c r="E290" s="434"/>
      <c r="F290" s="435"/>
      <c r="G290" s="436">
        <v>-1000000</v>
      </c>
      <c r="H290" s="436">
        <f t="shared" si="4"/>
        <v>1000</v>
      </c>
      <c r="I290" s="437"/>
      <c r="J290" s="437"/>
      <c r="K290" s="437"/>
      <c r="L290" s="437"/>
      <c r="M290" s="437"/>
      <c r="N290" s="437"/>
      <c r="O290" s="437"/>
      <c r="P290" s="437"/>
      <c r="Q290" s="437"/>
      <c r="R290" s="437"/>
      <c r="S290" s="437"/>
    </row>
    <row r="291" spans="1:19" ht="12.75" customHeight="1" x14ac:dyDescent="0.25">
      <c r="A291" s="431">
        <v>3</v>
      </c>
      <c r="B291" s="431">
        <v>2</v>
      </c>
      <c r="C291" s="432" t="s">
        <v>426</v>
      </c>
      <c r="D291" s="433" t="s">
        <v>2273</v>
      </c>
      <c r="E291" s="434"/>
      <c r="F291" s="435"/>
      <c r="G291" s="436">
        <v>-47172000</v>
      </c>
      <c r="H291" s="436">
        <f t="shared" si="4"/>
        <v>47172</v>
      </c>
      <c r="I291" s="437"/>
      <c r="J291" s="437"/>
      <c r="K291" s="437"/>
      <c r="L291" s="437"/>
      <c r="M291" s="437"/>
      <c r="N291" s="437"/>
      <c r="O291" s="437"/>
      <c r="P291" s="437"/>
      <c r="Q291" s="437"/>
      <c r="R291" s="437"/>
      <c r="S291" s="437"/>
    </row>
    <row r="292" spans="1:19" ht="12.75" customHeight="1" x14ac:dyDescent="0.25">
      <c r="A292" s="431">
        <v>4</v>
      </c>
      <c r="B292" s="431">
        <v>1</v>
      </c>
      <c r="C292" s="432" t="s">
        <v>2274</v>
      </c>
      <c r="D292" s="433" t="s">
        <v>428</v>
      </c>
      <c r="E292" s="434"/>
      <c r="F292" s="435"/>
      <c r="G292" s="436">
        <v>-47172000</v>
      </c>
      <c r="H292" s="436">
        <f t="shared" si="4"/>
        <v>47172</v>
      </c>
      <c r="I292" s="437"/>
      <c r="J292" s="437"/>
      <c r="K292" s="437"/>
      <c r="L292" s="437"/>
      <c r="M292" s="437"/>
      <c r="N292" s="437"/>
      <c r="O292" s="437"/>
      <c r="P292" s="437"/>
      <c r="Q292" s="437"/>
      <c r="R292" s="437"/>
      <c r="S292" s="437"/>
    </row>
    <row r="293" spans="1:19" ht="12.75" customHeight="1" x14ac:dyDescent="0.25">
      <c r="A293" s="431">
        <v>5</v>
      </c>
      <c r="B293" s="431">
        <v>0</v>
      </c>
      <c r="C293" s="432" t="s">
        <v>2275</v>
      </c>
      <c r="D293" s="433" t="s">
        <v>429</v>
      </c>
      <c r="E293" s="434"/>
      <c r="F293" s="435"/>
      <c r="G293" s="436">
        <v>-9424000</v>
      </c>
      <c r="H293" s="436">
        <f t="shared" si="4"/>
        <v>9424</v>
      </c>
      <c r="I293" s="437"/>
      <c r="J293" s="437"/>
      <c r="K293" s="437"/>
      <c r="L293" s="437"/>
      <c r="M293" s="437"/>
      <c r="N293" s="437"/>
      <c r="O293" s="437"/>
      <c r="P293" s="437"/>
      <c r="Q293" s="437"/>
      <c r="R293" s="437"/>
      <c r="S293" s="437"/>
    </row>
    <row r="294" spans="1:19" ht="12.75" customHeight="1" x14ac:dyDescent="0.25">
      <c r="A294" s="431">
        <v>5</v>
      </c>
      <c r="B294" s="431">
        <v>0</v>
      </c>
      <c r="C294" s="432" t="s">
        <v>2276</v>
      </c>
      <c r="D294" s="433" t="s">
        <v>430</v>
      </c>
      <c r="E294" s="434"/>
      <c r="F294" s="435"/>
      <c r="G294" s="436">
        <v>-37437000</v>
      </c>
      <c r="H294" s="436">
        <f t="shared" si="4"/>
        <v>37437</v>
      </c>
      <c r="I294" s="437"/>
      <c r="J294" s="437"/>
      <c r="K294" s="437"/>
      <c r="L294" s="437"/>
      <c r="M294" s="437"/>
      <c r="N294" s="437"/>
      <c r="O294" s="437"/>
      <c r="P294" s="437"/>
      <c r="Q294" s="437"/>
      <c r="R294" s="437"/>
      <c r="S294" s="437"/>
    </row>
    <row r="295" spans="1:19" ht="12.75" customHeight="1" x14ac:dyDescent="0.25">
      <c r="A295" s="431">
        <v>5</v>
      </c>
      <c r="B295" s="431">
        <v>0</v>
      </c>
      <c r="C295" s="432" t="s">
        <v>2277</v>
      </c>
      <c r="D295" s="433" t="s">
        <v>431</v>
      </c>
      <c r="E295" s="434"/>
      <c r="F295" s="435"/>
      <c r="G295" s="436">
        <v>-311000</v>
      </c>
      <c r="H295" s="436">
        <f t="shared" si="4"/>
        <v>311</v>
      </c>
      <c r="I295" s="437"/>
      <c r="J295" s="437"/>
      <c r="K295" s="437"/>
      <c r="L295" s="437"/>
      <c r="M295" s="437"/>
      <c r="N295" s="437"/>
      <c r="O295" s="437"/>
      <c r="P295" s="437"/>
      <c r="Q295" s="437"/>
      <c r="R295" s="437"/>
      <c r="S295" s="437"/>
    </row>
    <row r="296" spans="1:19" ht="12.75" customHeight="1" x14ac:dyDescent="0.25">
      <c r="A296" s="431">
        <v>3</v>
      </c>
      <c r="B296" s="431">
        <v>2</v>
      </c>
      <c r="C296" s="432" t="s">
        <v>446</v>
      </c>
      <c r="D296" s="433" t="s">
        <v>1971</v>
      </c>
      <c r="E296" s="434"/>
      <c r="F296" s="435"/>
      <c r="G296" s="436">
        <v>-18462456</v>
      </c>
      <c r="H296" s="436">
        <f t="shared" si="4"/>
        <v>18462.455999999998</v>
      </c>
      <c r="I296" s="437"/>
      <c r="J296" s="437"/>
      <c r="K296" s="437"/>
      <c r="L296" s="437"/>
      <c r="M296" s="437"/>
      <c r="N296" s="437"/>
      <c r="O296" s="437"/>
      <c r="P296" s="437"/>
      <c r="Q296" s="437"/>
      <c r="R296" s="437"/>
      <c r="S296" s="437"/>
    </row>
    <row r="297" spans="1:19" ht="12.75" customHeight="1" x14ac:dyDescent="0.25">
      <c r="A297" s="431">
        <v>4</v>
      </c>
      <c r="B297" s="431">
        <v>1</v>
      </c>
      <c r="C297" s="432" t="s">
        <v>2278</v>
      </c>
      <c r="D297" s="433" t="s">
        <v>453</v>
      </c>
      <c r="E297" s="434"/>
      <c r="F297" s="435"/>
      <c r="G297" s="436">
        <v>2800000</v>
      </c>
      <c r="H297" s="436">
        <f t="shared" si="4"/>
        <v>-2800</v>
      </c>
      <c r="I297" s="437"/>
      <c r="J297" s="437"/>
      <c r="K297" s="437"/>
      <c r="L297" s="437"/>
      <c r="M297" s="437"/>
      <c r="N297" s="437"/>
      <c r="O297" s="437"/>
      <c r="P297" s="437"/>
      <c r="Q297" s="437"/>
      <c r="R297" s="437"/>
      <c r="S297" s="437"/>
    </row>
    <row r="298" spans="1:19" ht="12.75" customHeight="1" x14ac:dyDescent="0.25">
      <c r="A298" s="431">
        <v>5</v>
      </c>
      <c r="B298" s="431">
        <v>0</v>
      </c>
      <c r="C298" s="432" t="s">
        <v>2279</v>
      </c>
      <c r="D298" s="433" t="s">
        <v>454</v>
      </c>
      <c r="E298" s="434"/>
      <c r="F298" s="435"/>
      <c r="G298" s="436">
        <v>2800000</v>
      </c>
      <c r="H298" s="436">
        <f t="shared" si="4"/>
        <v>-2800</v>
      </c>
      <c r="I298" s="437"/>
      <c r="J298" s="437"/>
      <c r="K298" s="437"/>
      <c r="L298" s="437"/>
      <c r="M298" s="437"/>
      <c r="N298" s="437"/>
      <c r="O298" s="437"/>
      <c r="P298" s="437"/>
      <c r="Q298" s="437"/>
      <c r="R298" s="437"/>
      <c r="S298" s="437"/>
    </row>
    <row r="299" spans="1:19" ht="12.75" customHeight="1" x14ac:dyDescent="0.25">
      <c r="A299" s="431">
        <v>4</v>
      </c>
      <c r="B299" s="431">
        <v>1</v>
      </c>
      <c r="C299" s="432" t="s">
        <v>2280</v>
      </c>
      <c r="D299" s="433" t="s">
        <v>459</v>
      </c>
      <c r="E299" s="434"/>
      <c r="F299" s="435"/>
      <c r="G299" s="436">
        <v>-5672000</v>
      </c>
      <c r="H299" s="436">
        <f t="shared" si="4"/>
        <v>5672</v>
      </c>
      <c r="I299" s="437"/>
      <c r="J299" s="437"/>
      <c r="K299" s="437"/>
      <c r="L299" s="437"/>
      <c r="M299" s="437"/>
      <c r="N299" s="437"/>
      <c r="O299" s="437"/>
      <c r="P299" s="437"/>
      <c r="Q299" s="437"/>
      <c r="R299" s="437"/>
      <c r="S299" s="437"/>
    </row>
    <row r="300" spans="1:19" ht="12.75" customHeight="1" x14ac:dyDescent="0.25">
      <c r="A300" s="431">
        <v>5</v>
      </c>
      <c r="B300" s="431">
        <v>0</v>
      </c>
      <c r="C300" s="432" t="s">
        <v>2281</v>
      </c>
      <c r="D300" s="433" t="s">
        <v>461</v>
      </c>
      <c r="E300" s="434"/>
      <c r="F300" s="435"/>
      <c r="G300" s="436">
        <v>-240000</v>
      </c>
      <c r="H300" s="436">
        <f t="shared" si="4"/>
        <v>240</v>
      </c>
      <c r="I300" s="437"/>
      <c r="J300" s="437"/>
      <c r="K300" s="437"/>
      <c r="L300" s="437"/>
      <c r="M300" s="437"/>
      <c r="N300" s="437"/>
      <c r="O300" s="437"/>
      <c r="P300" s="437"/>
      <c r="Q300" s="437"/>
      <c r="R300" s="437"/>
      <c r="S300" s="437"/>
    </row>
    <row r="301" spans="1:19" ht="12.75" customHeight="1" x14ac:dyDescent="0.25">
      <c r="A301" s="431">
        <v>5</v>
      </c>
      <c r="B301" s="431">
        <v>0</v>
      </c>
      <c r="C301" s="432" t="s">
        <v>2282</v>
      </c>
      <c r="D301" s="433" t="s">
        <v>464</v>
      </c>
      <c r="E301" s="434"/>
      <c r="F301" s="435"/>
      <c r="G301" s="436">
        <v>-70000</v>
      </c>
      <c r="H301" s="436">
        <f t="shared" si="4"/>
        <v>70</v>
      </c>
      <c r="I301" s="437"/>
      <c r="J301" s="437"/>
      <c r="K301" s="437"/>
      <c r="L301" s="437"/>
      <c r="M301" s="437"/>
      <c r="N301" s="437"/>
      <c r="O301" s="437"/>
      <c r="P301" s="437"/>
      <c r="Q301" s="437"/>
      <c r="R301" s="437"/>
      <c r="S301" s="437"/>
    </row>
    <row r="302" spans="1:19" ht="12.75" customHeight="1" x14ac:dyDescent="0.25">
      <c r="A302" s="431">
        <v>5</v>
      </c>
      <c r="B302" s="431">
        <v>0</v>
      </c>
      <c r="C302" s="432" t="s">
        <v>2283</v>
      </c>
      <c r="D302" s="433" t="s">
        <v>465</v>
      </c>
      <c r="E302" s="434"/>
      <c r="F302" s="435"/>
      <c r="G302" s="436">
        <v>-1510000</v>
      </c>
      <c r="H302" s="436">
        <f t="shared" si="4"/>
        <v>1510</v>
      </c>
      <c r="I302" s="437"/>
      <c r="J302" s="437"/>
      <c r="K302" s="437"/>
      <c r="L302" s="437"/>
      <c r="M302" s="437"/>
      <c r="N302" s="437"/>
      <c r="O302" s="437"/>
      <c r="P302" s="437"/>
      <c r="Q302" s="437"/>
      <c r="R302" s="437"/>
      <c r="S302" s="437"/>
    </row>
    <row r="303" spans="1:19" ht="12.75" customHeight="1" x14ac:dyDescent="0.25">
      <c r="A303" s="431">
        <v>5</v>
      </c>
      <c r="B303" s="431">
        <v>0</v>
      </c>
      <c r="C303" s="432" t="s">
        <v>2284</v>
      </c>
      <c r="D303" s="433" t="s">
        <v>466</v>
      </c>
      <c r="E303" s="434"/>
      <c r="F303" s="435"/>
      <c r="G303" s="436">
        <v>-2112000</v>
      </c>
      <c r="H303" s="436">
        <f t="shared" si="4"/>
        <v>2112</v>
      </c>
      <c r="I303" s="437"/>
      <c r="J303" s="437"/>
      <c r="K303" s="437"/>
      <c r="L303" s="437"/>
      <c r="M303" s="437"/>
      <c r="N303" s="437"/>
      <c r="O303" s="437"/>
      <c r="P303" s="437"/>
      <c r="Q303" s="437"/>
      <c r="R303" s="437"/>
      <c r="S303" s="437"/>
    </row>
    <row r="304" spans="1:19" ht="12.75" customHeight="1" x14ac:dyDescent="0.25">
      <c r="A304" s="431">
        <v>5</v>
      </c>
      <c r="B304" s="431">
        <v>0</v>
      </c>
      <c r="C304" s="432" t="s">
        <v>2285</v>
      </c>
      <c r="D304" s="433" t="s">
        <v>467</v>
      </c>
      <c r="E304" s="434"/>
      <c r="F304" s="435"/>
      <c r="G304" s="436">
        <v>-700000</v>
      </c>
      <c r="H304" s="436">
        <f t="shared" si="4"/>
        <v>700</v>
      </c>
      <c r="I304" s="437"/>
      <c r="J304" s="437"/>
      <c r="K304" s="437"/>
      <c r="L304" s="437"/>
      <c r="M304" s="437"/>
      <c r="N304" s="437"/>
      <c r="O304" s="437"/>
      <c r="P304" s="437"/>
      <c r="Q304" s="437"/>
      <c r="R304" s="437"/>
      <c r="S304" s="437"/>
    </row>
    <row r="305" spans="1:19" ht="12.75" customHeight="1" x14ac:dyDescent="0.25">
      <c r="A305" s="431">
        <v>5</v>
      </c>
      <c r="B305" s="431">
        <v>0</v>
      </c>
      <c r="C305" s="432" t="s">
        <v>2286</v>
      </c>
      <c r="D305" s="433" t="s">
        <v>468</v>
      </c>
      <c r="E305" s="434"/>
      <c r="F305" s="435"/>
      <c r="G305" s="436">
        <v>-330000</v>
      </c>
      <c r="H305" s="436">
        <f t="shared" si="4"/>
        <v>330</v>
      </c>
      <c r="I305" s="437"/>
      <c r="J305" s="437"/>
      <c r="K305" s="437"/>
      <c r="L305" s="437"/>
      <c r="M305" s="437"/>
      <c r="N305" s="437"/>
      <c r="O305" s="437"/>
      <c r="P305" s="437"/>
      <c r="Q305" s="437"/>
      <c r="R305" s="437"/>
      <c r="S305" s="437"/>
    </row>
    <row r="306" spans="1:19" ht="12.75" customHeight="1" x14ac:dyDescent="0.25">
      <c r="A306" s="431">
        <v>5</v>
      </c>
      <c r="B306" s="431">
        <v>0</v>
      </c>
      <c r="C306" s="432" t="s">
        <v>2287</v>
      </c>
      <c r="D306" s="433" t="s">
        <v>472</v>
      </c>
      <c r="E306" s="434"/>
      <c r="F306" s="435"/>
      <c r="G306" s="436">
        <v>-710000</v>
      </c>
      <c r="H306" s="436">
        <f t="shared" si="4"/>
        <v>710</v>
      </c>
      <c r="I306" s="437"/>
      <c r="J306" s="437"/>
      <c r="K306" s="437"/>
      <c r="L306" s="437"/>
      <c r="M306" s="437"/>
      <c r="N306" s="437"/>
      <c r="O306" s="437"/>
      <c r="P306" s="437"/>
      <c r="Q306" s="437"/>
      <c r="R306" s="437"/>
      <c r="S306" s="437"/>
    </row>
    <row r="307" spans="1:19" ht="12.75" customHeight="1" x14ac:dyDescent="0.25">
      <c r="A307" s="431">
        <v>4</v>
      </c>
      <c r="B307" s="431">
        <v>1</v>
      </c>
      <c r="C307" s="432" t="s">
        <v>2288</v>
      </c>
      <c r="D307" s="433" t="s">
        <v>474</v>
      </c>
      <c r="E307" s="434"/>
      <c r="F307" s="435"/>
      <c r="G307" s="436">
        <v>-11237456</v>
      </c>
      <c r="H307" s="436">
        <f t="shared" si="4"/>
        <v>11237.456</v>
      </c>
      <c r="I307" s="437"/>
      <c r="J307" s="437"/>
      <c r="K307" s="437"/>
      <c r="L307" s="437"/>
      <c r="M307" s="437"/>
      <c r="N307" s="437"/>
      <c r="O307" s="437"/>
      <c r="P307" s="437"/>
      <c r="Q307" s="437"/>
      <c r="R307" s="437"/>
      <c r="S307" s="437"/>
    </row>
    <row r="308" spans="1:19" ht="12.75" customHeight="1" x14ac:dyDescent="0.25">
      <c r="A308" s="431">
        <v>5</v>
      </c>
      <c r="B308" s="431">
        <v>0</v>
      </c>
      <c r="C308" s="432" t="s">
        <v>2289</v>
      </c>
      <c r="D308" s="433" t="s">
        <v>475</v>
      </c>
      <c r="E308" s="434"/>
      <c r="F308" s="435"/>
      <c r="G308" s="436">
        <v>-2913456</v>
      </c>
      <c r="H308" s="436">
        <f t="shared" si="4"/>
        <v>2913.4560000000001</v>
      </c>
      <c r="I308" s="437"/>
      <c r="J308" s="437"/>
      <c r="K308" s="437"/>
      <c r="L308" s="437"/>
      <c r="M308" s="437"/>
      <c r="N308" s="437"/>
      <c r="O308" s="437"/>
      <c r="P308" s="437"/>
      <c r="Q308" s="437"/>
      <c r="R308" s="437"/>
      <c r="S308" s="437"/>
    </row>
    <row r="309" spans="1:19" ht="12.75" customHeight="1" x14ac:dyDescent="0.25">
      <c r="A309" s="431">
        <v>5</v>
      </c>
      <c r="B309" s="431">
        <v>0</v>
      </c>
      <c r="C309" s="432" t="s">
        <v>2290</v>
      </c>
      <c r="D309" s="433" t="s">
        <v>476</v>
      </c>
      <c r="E309" s="434"/>
      <c r="F309" s="435"/>
      <c r="G309" s="436">
        <v>-7400000</v>
      </c>
      <c r="H309" s="436">
        <f t="shared" si="4"/>
        <v>7400</v>
      </c>
      <c r="I309" s="437"/>
      <c r="J309" s="437"/>
      <c r="K309" s="437"/>
      <c r="L309" s="437"/>
      <c r="M309" s="437"/>
      <c r="N309" s="437"/>
      <c r="O309" s="437"/>
      <c r="P309" s="437"/>
      <c r="Q309" s="437"/>
      <c r="R309" s="437"/>
      <c r="S309" s="437"/>
    </row>
    <row r="310" spans="1:19" ht="12.75" customHeight="1" x14ac:dyDescent="0.25">
      <c r="A310" s="431">
        <v>5</v>
      </c>
      <c r="B310" s="431">
        <v>0</v>
      </c>
      <c r="C310" s="432" t="s">
        <v>2291</v>
      </c>
      <c r="D310" s="433" t="s">
        <v>477</v>
      </c>
      <c r="E310" s="434"/>
      <c r="F310" s="435"/>
      <c r="G310" s="436">
        <v>-900000</v>
      </c>
      <c r="H310" s="436">
        <f t="shared" si="4"/>
        <v>900</v>
      </c>
      <c r="I310" s="437"/>
      <c r="J310" s="437"/>
      <c r="K310" s="437"/>
      <c r="L310" s="437"/>
      <c r="M310" s="437"/>
      <c r="N310" s="437"/>
      <c r="O310" s="437"/>
      <c r="P310" s="437"/>
      <c r="Q310" s="437"/>
      <c r="R310" s="437"/>
      <c r="S310" s="437"/>
    </row>
    <row r="311" spans="1:19" ht="12.75" customHeight="1" x14ac:dyDescent="0.25">
      <c r="A311" s="431">
        <v>5</v>
      </c>
      <c r="B311" s="431">
        <v>0</v>
      </c>
      <c r="C311" s="432" t="s">
        <v>2292</v>
      </c>
      <c r="D311" s="433" t="s">
        <v>2293</v>
      </c>
      <c r="E311" s="434"/>
      <c r="F311" s="435"/>
      <c r="G311" s="436">
        <v>-24000</v>
      </c>
      <c r="H311" s="436">
        <f t="shared" si="4"/>
        <v>24</v>
      </c>
      <c r="I311" s="437"/>
      <c r="J311" s="437"/>
      <c r="K311" s="437"/>
      <c r="L311" s="437"/>
      <c r="M311" s="437"/>
      <c r="N311" s="437"/>
      <c r="O311" s="437"/>
      <c r="P311" s="437"/>
      <c r="Q311" s="437"/>
      <c r="R311" s="437"/>
      <c r="S311" s="437"/>
    </row>
    <row r="312" spans="1:19" ht="12.75" customHeight="1" x14ac:dyDescent="0.25">
      <c r="A312" s="431">
        <v>4</v>
      </c>
      <c r="B312" s="431">
        <v>1</v>
      </c>
      <c r="C312" s="432" t="s">
        <v>2294</v>
      </c>
      <c r="D312" s="433" t="s">
        <v>479</v>
      </c>
      <c r="E312" s="434"/>
      <c r="F312" s="435"/>
      <c r="G312" s="436">
        <v>-44000</v>
      </c>
      <c r="H312" s="436">
        <f t="shared" si="4"/>
        <v>44</v>
      </c>
      <c r="I312" s="437"/>
      <c r="J312" s="437"/>
      <c r="K312" s="437"/>
      <c r="L312" s="437"/>
      <c r="M312" s="437"/>
      <c r="N312" s="437"/>
      <c r="O312" s="437"/>
      <c r="P312" s="437"/>
      <c r="Q312" s="437"/>
      <c r="R312" s="437"/>
      <c r="S312" s="437"/>
    </row>
    <row r="313" spans="1:19" ht="12.75" customHeight="1" x14ac:dyDescent="0.25">
      <c r="A313" s="431">
        <v>5</v>
      </c>
      <c r="B313" s="431">
        <v>0</v>
      </c>
      <c r="C313" s="432" t="s">
        <v>2295</v>
      </c>
      <c r="D313" s="433" t="s">
        <v>480</v>
      </c>
      <c r="E313" s="434"/>
      <c r="F313" s="435"/>
      <c r="G313" s="436">
        <v>-44000</v>
      </c>
      <c r="H313" s="436">
        <f t="shared" si="4"/>
        <v>44</v>
      </c>
      <c r="I313" s="437"/>
      <c r="J313" s="437"/>
      <c r="K313" s="437"/>
      <c r="L313" s="437"/>
      <c r="M313" s="437"/>
      <c r="N313" s="437"/>
      <c r="O313" s="437"/>
      <c r="P313" s="437"/>
      <c r="Q313" s="437"/>
      <c r="R313" s="437"/>
      <c r="S313" s="437"/>
    </row>
    <row r="314" spans="1:19" ht="12.75" customHeight="1" x14ac:dyDescent="0.25">
      <c r="A314" s="431">
        <v>4</v>
      </c>
      <c r="B314" s="431">
        <v>1</v>
      </c>
      <c r="C314" s="432" t="s">
        <v>2296</v>
      </c>
      <c r="D314" s="433" t="s">
        <v>481</v>
      </c>
      <c r="E314" s="434"/>
      <c r="F314" s="435"/>
      <c r="G314" s="436">
        <v>-397000</v>
      </c>
      <c r="H314" s="436">
        <f t="shared" si="4"/>
        <v>397</v>
      </c>
      <c r="I314" s="437"/>
      <c r="J314" s="437"/>
      <c r="K314" s="437"/>
      <c r="L314" s="437"/>
      <c r="M314" s="437"/>
      <c r="N314" s="437"/>
      <c r="O314" s="437"/>
      <c r="P314" s="437"/>
      <c r="Q314" s="437"/>
      <c r="R314" s="437"/>
      <c r="S314" s="437"/>
    </row>
    <row r="315" spans="1:19" ht="12.75" customHeight="1" x14ac:dyDescent="0.25">
      <c r="A315" s="431">
        <v>5</v>
      </c>
      <c r="B315" s="431">
        <v>0</v>
      </c>
      <c r="C315" s="432" t="s">
        <v>2297</v>
      </c>
      <c r="D315" s="433" t="s">
        <v>482</v>
      </c>
      <c r="E315" s="434"/>
      <c r="F315" s="435"/>
      <c r="G315" s="436">
        <v>-397000</v>
      </c>
      <c r="H315" s="436">
        <f t="shared" si="4"/>
        <v>397</v>
      </c>
      <c r="I315" s="437"/>
      <c r="J315" s="437"/>
      <c r="K315" s="437"/>
      <c r="L315" s="437"/>
      <c r="M315" s="437"/>
      <c r="N315" s="437"/>
      <c r="O315" s="437"/>
      <c r="P315" s="437"/>
      <c r="Q315" s="437"/>
      <c r="R315" s="437"/>
      <c r="S315" s="437"/>
    </row>
    <row r="316" spans="1:19" ht="12.75" customHeight="1" x14ac:dyDescent="0.25">
      <c r="A316" s="431">
        <v>4</v>
      </c>
      <c r="B316" s="431">
        <v>1</v>
      </c>
      <c r="C316" s="432" t="s">
        <v>2298</v>
      </c>
      <c r="D316" s="433" t="s">
        <v>483</v>
      </c>
      <c r="E316" s="434"/>
      <c r="F316" s="435"/>
      <c r="G316" s="436">
        <v>-290000</v>
      </c>
      <c r="H316" s="436">
        <f t="shared" si="4"/>
        <v>290</v>
      </c>
      <c r="I316" s="437"/>
      <c r="J316" s="437"/>
      <c r="K316" s="437"/>
      <c r="L316" s="437"/>
      <c r="M316" s="437"/>
      <c r="N316" s="437"/>
      <c r="O316" s="437"/>
      <c r="P316" s="437"/>
      <c r="Q316" s="437"/>
      <c r="R316" s="437"/>
      <c r="S316" s="437"/>
    </row>
    <row r="317" spans="1:19" ht="12.75" customHeight="1" x14ac:dyDescent="0.25">
      <c r="A317" s="431">
        <v>5</v>
      </c>
      <c r="B317" s="431">
        <v>0</v>
      </c>
      <c r="C317" s="432" t="s">
        <v>2299</v>
      </c>
      <c r="D317" s="433" t="s">
        <v>484</v>
      </c>
      <c r="E317" s="434"/>
      <c r="F317" s="435"/>
      <c r="G317" s="436">
        <v>-290000</v>
      </c>
      <c r="H317" s="436">
        <f t="shared" si="4"/>
        <v>290</v>
      </c>
      <c r="I317" s="437"/>
      <c r="J317" s="437"/>
      <c r="K317" s="437"/>
      <c r="L317" s="437"/>
      <c r="M317" s="437"/>
      <c r="N317" s="437"/>
      <c r="O317" s="437"/>
      <c r="P317" s="437"/>
      <c r="Q317" s="437"/>
      <c r="R317" s="437"/>
      <c r="S317" s="437"/>
    </row>
    <row r="318" spans="1:19" ht="12.75" customHeight="1" x14ac:dyDescent="0.25">
      <c r="A318" s="431">
        <v>4</v>
      </c>
      <c r="B318" s="431">
        <v>1</v>
      </c>
      <c r="C318" s="432" t="s">
        <v>2300</v>
      </c>
      <c r="D318" s="433" t="s">
        <v>485</v>
      </c>
      <c r="E318" s="434"/>
      <c r="F318" s="435"/>
      <c r="G318" s="436">
        <v>-1290000</v>
      </c>
      <c r="H318" s="436">
        <f t="shared" si="4"/>
        <v>1290</v>
      </c>
      <c r="I318" s="437"/>
      <c r="J318" s="437"/>
      <c r="K318" s="437"/>
      <c r="L318" s="437"/>
      <c r="M318" s="437"/>
      <c r="N318" s="437"/>
      <c r="O318" s="437"/>
      <c r="P318" s="437"/>
      <c r="Q318" s="437"/>
      <c r="R318" s="437"/>
      <c r="S318" s="437"/>
    </row>
    <row r="319" spans="1:19" ht="12.75" customHeight="1" x14ac:dyDescent="0.25">
      <c r="A319" s="431">
        <v>5</v>
      </c>
      <c r="B319" s="431">
        <v>0</v>
      </c>
      <c r="C319" s="432" t="s">
        <v>2301</v>
      </c>
      <c r="D319" s="433" t="s">
        <v>486</v>
      </c>
      <c r="E319" s="434"/>
      <c r="F319" s="435"/>
      <c r="G319" s="436">
        <v>-1290000</v>
      </c>
      <c r="H319" s="436">
        <f t="shared" si="4"/>
        <v>1290</v>
      </c>
      <c r="I319" s="437"/>
      <c r="J319" s="437"/>
      <c r="K319" s="437"/>
      <c r="L319" s="437"/>
      <c r="M319" s="437"/>
      <c r="N319" s="437"/>
      <c r="O319" s="437"/>
      <c r="P319" s="437"/>
      <c r="Q319" s="437"/>
      <c r="R319" s="437"/>
      <c r="S319" s="437"/>
    </row>
    <row r="320" spans="1:19" ht="12.75" customHeight="1" x14ac:dyDescent="0.25">
      <c r="A320" s="431">
        <v>4</v>
      </c>
      <c r="B320" s="431">
        <v>1</v>
      </c>
      <c r="C320" s="432" t="s">
        <v>2302</v>
      </c>
      <c r="D320" s="433" t="s">
        <v>489</v>
      </c>
      <c r="E320" s="434"/>
      <c r="F320" s="435"/>
      <c r="G320" s="436">
        <v>-210000</v>
      </c>
      <c r="H320" s="436">
        <f t="shared" si="4"/>
        <v>210</v>
      </c>
      <c r="I320" s="437"/>
      <c r="J320" s="437"/>
      <c r="K320" s="437"/>
      <c r="L320" s="437"/>
      <c r="M320" s="437"/>
      <c r="N320" s="437"/>
      <c r="O320" s="437"/>
      <c r="P320" s="437"/>
      <c r="Q320" s="437"/>
      <c r="R320" s="437"/>
      <c r="S320" s="437"/>
    </row>
    <row r="321" spans="1:19" ht="12.75" customHeight="1" x14ac:dyDescent="0.25">
      <c r="A321" s="431">
        <v>5</v>
      </c>
      <c r="B321" s="431">
        <v>0</v>
      </c>
      <c r="C321" s="432" t="s">
        <v>2303</v>
      </c>
      <c r="D321" s="433" t="s">
        <v>490</v>
      </c>
      <c r="E321" s="434"/>
      <c r="F321" s="435"/>
      <c r="G321" s="436">
        <v>-210000</v>
      </c>
      <c r="H321" s="436">
        <f t="shared" si="4"/>
        <v>210</v>
      </c>
      <c r="I321" s="437"/>
      <c r="J321" s="437"/>
      <c r="K321" s="437"/>
      <c r="L321" s="437"/>
      <c r="M321" s="437"/>
      <c r="N321" s="437"/>
      <c r="O321" s="437"/>
      <c r="P321" s="437"/>
      <c r="Q321" s="437"/>
      <c r="R321" s="437"/>
      <c r="S321" s="437"/>
    </row>
    <row r="322" spans="1:19" ht="12.75" customHeight="1" x14ac:dyDescent="0.25">
      <c r="A322" s="431">
        <v>4</v>
      </c>
      <c r="B322" s="431">
        <v>1</v>
      </c>
      <c r="C322" s="432" t="s">
        <v>2304</v>
      </c>
      <c r="D322" s="433" t="s">
        <v>491</v>
      </c>
      <c r="E322" s="434"/>
      <c r="F322" s="435"/>
      <c r="G322" s="436">
        <v>-700000</v>
      </c>
      <c r="H322" s="436">
        <f t="shared" si="4"/>
        <v>700</v>
      </c>
      <c r="I322" s="437"/>
      <c r="J322" s="437"/>
      <c r="K322" s="437"/>
      <c r="L322" s="437"/>
      <c r="M322" s="437"/>
      <c r="N322" s="437"/>
      <c r="O322" s="437"/>
      <c r="P322" s="437"/>
      <c r="Q322" s="437"/>
      <c r="R322" s="437"/>
      <c r="S322" s="437"/>
    </row>
    <row r="323" spans="1:19" ht="12.75" customHeight="1" x14ac:dyDescent="0.25">
      <c r="A323" s="431">
        <v>5</v>
      </c>
      <c r="B323" s="431">
        <v>0</v>
      </c>
      <c r="C323" s="432" t="s">
        <v>2305</v>
      </c>
      <c r="D323" s="433" t="s">
        <v>492</v>
      </c>
      <c r="E323" s="434"/>
      <c r="F323" s="435"/>
      <c r="G323" s="436">
        <v>-700000</v>
      </c>
      <c r="H323" s="436">
        <f t="shared" si="4"/>
        <v>700</v>
      </c>
      <c r="I323" s="437"/>
      <c r="J323" s="437"/>
      <c r="K323" s="437"/>
      <c r="L323" s="437"/>
      <c r="M323" s="437"/>
      <c r="N323" s="437"/>
      <c r="O323" s="437"/>
      <c r="P323" s="437"/>
      <c r="Q323" s="437"/>
      <c r="R323" s="437"/>
      <c r="S323" s="437"/>
    </row>
    <row r="324" spans="1:19" ht="12.75" customHeight="1" x14ac:dyDescent="0.25">
      <c r="A324" s="431">
        <v>4</v>
      </c>
      <c r="B324" s="431">
        <v>1</v>
      </c>
      <c r="C324" s="432" t="s">
        <v>2306</v>
      </c>
      <c r="D324" s="433" t="s">
        <v>493</v>
      </c>
      <c r="E324" s="434"/>
      <c r="F324" s="435"/>
      <c r="G324" s="436">
        <v>-200000</v>
      </c>
      <c r="H324" s="436">
        <f t="shared" si="4"/>
        <v>200</v>
      </c>
      <c r="I324" s="437"/>
      <c r="J324" s="437"/>
      <c r="K324" s="437"/>
      <c r="L324" s="437"/>
      <c r="M324" s="437"/>
      <c r="N324" s="437"/>
      <c r="O324" s="437"/>
      <c r="P324" s="437"/>
      <c r="Q324" s="437"/>
      <c r="R324" s="437"/>
      <c r="S324" s="437"/>
    </row>
    <row r="325" spans="1:19" ht="12.75" customHeight="1" x14ac:dyDescent="0.25">
      <c r="A325" s="431">
        <v>5</v>
      </c>
      <c r="B325" s="431">
        <v>0</v>
      </c>
      <c r="C325" s="432" t="s">
        <v>2307</v>
      </c>
      <c r="D325" s="433" t="s">
        <v>494</v>
      </c>
      <c r="E325" s="434"/>
      <c r="F325" s="435"/>
      <c r="G325" s="436">
        <v>-200000</v>
      </c>
      <c r="H325" s="436">
        <f t="shared" si="4"/>
        <v>200</v>
      </c>
      <c r="I325" s="437"/>
      <c r="J325" s="437"/>
      <c r="K325" s="437"/>
      <c r="L325" s="437"/>
      <c r="M325" s="437"/>
      <c r="N325" s="437"/>
      <c r="O325" s="437"/>
      <c r="P325" s="437"/>
      <c r="Q325" s="437"/>
      <c r="R325" s="437"/>
      <c r="S325" s="437"/>
    </row>
    <row r="326" spans="1:19" ht="12.75" customHeight="1" x14ac:dyDescent="0.25">
      <c r="A326" s="431">
        <v>4</v>
      </c>
      <c r="B326" s="431">
        <v>1</v>
      </c>
      <c r="C326" s="432" t="s">
        <v>2308</v>
      </c>
      <c r="D326" s="433" t="s">
        <v>497</v>
      </c>
      <c r="E326" s="434"/>
      <c r="F326" s="435"/>
      <c r="G326" s="436">
        <v>-580000</v>
      </c>
      <c r="H326" s="436">
        <f t="shared" si="4"/>
        <v>580</v>
      </c>
      <c r="I326" s="437"/>
      <c r="J326" s="437"/>
      <c r="K326" s="437"/>
      <c r="L326" s="437"/>
      <c r="M326" s="437"/>
      <c r="N326" s="437"/>
      <c r="O326" s="437"/>
      <c r="P326" s="437"/>
      <c r="Q326" s="437"/>
      <c r="R326" s="437"/>
      <c r="S326" s="437"/>
    </row>
    <row r="327" spans="1:19" ht="12.75" customHeight="1" x14ac:dyDescent="0.25">
      <c r="A327" s="431">
        <v>5</v>
      </c>
      <c r="B327" s="431">
        <v>0</v>
      </c>
      <c r="C327" s="432" t="s">
        <v>2309</v>
      </c>
      <c r="D327" s="433" t="s">
        <v>498</v>
      </c>
      <c r="E327" s="434"/>
      <c r="F327" s="435"/>
      <c r="G327" s="436">
        <v>-580000</v>
      </c>
      <c r="H327" s="436">
        <f t="shared" si="4"/>
        <v>580</v>
      </c>
      <c r="I327" s="437"/>
      <c r="J327" s="437"/>
      <c r="K327" s="437"/>
      <c r="L327" s="437"/>
      <c r="M327" s="437"/>
      <c r="N327" s="437"/>
      <c r="O327" s="437"/>
      <c r="P327" s="437"/>
      <c r="Q327" s="437"/>
      <c r="R327" s="437"/>
      <c r="S327" s="437"/>
    </row>
    <row r="328" spans="1:19" ht="12.75" customHeight="1" x14ac:dyDescent="0.25">
      <c r="A328" s="431">
        <v>4</v>
      </c>
      <c r="B328" s="431">
        <v>1</v>
      </c>
      <c r="C328" s="432" t="s">
        <v>2310</v>
      </c>
      <c r="D328" s="433" t="s">
        <v>499</v>
      </c>
      <c r="E328" s="434"/>
      <c r="F328" s="435"/>
      <c r="G328" s="436">
        <v>-500000</v>
      </c>
      <c r="H328" s="436">
        <f t="shared" si="4"/>
        <v>500</v>
      </c>
      <c r="I328" s="437"/>
      <c r="J328" s="437"/>
      <c r="K328" s="437"/>
      <c r="L328" s="437"/>
      <c r="M328" s="437"/>
      <c r="N328" s="437"/>
      <c r="O328" s="437"/>
      <c r="P328" s="437"/>
      <c r="Q328" s="437"/>
      <c r="R328" s="437"/>
      <c r="S328" s="437"/>
    </row>
    <row r="329" spans="1:19" ht="12.75" customHeight="1" x14ac:dyDescent="0.25">
      <c r="A329" s="431">
        <v>5</v>
      </c>
      <c r="B329" s="431">
        <v>0</v>
      </c>
      <c r="C329" s="432" t="s">
        <v>2311</v>
      </c>
      <c r="D329" s="433" t="s">
        <v>500</v>
      </c>
      <c r="E329" s="434"/>
      <c r="F329" s="435"/>
      <c r="G329" s="436">
        <v>-500000</v>
      </c>
      <c r="H329" s="436">
        <f t="shared" si="4"/>
        <v>500</v>
      </c>
      <c r="I329" s="437"/>
      <c r="J329" s="437"/>
      <c r="K329" s="437"/>
      <c r="L329" s="437"/>
      <c r="M329" s="437"/>
      <c r="N329" s="437"/>
      <c r="O329" s="437"/>
      <c r="P329" s="437"/>
      <c r="Q329" s="437"/>
      <c r="R329" s="437"/>
      <c r="S329" s="437"/>
    </row>
    <row r="330" spans="1:19" ht="12.75" customHeight="1" x14ac:dyDescent="0.25">
      <c r="A330" s="431">
        <v>4</v>
      </c>
      <c r="B330" s="431">
        <v>1</v>
      </c>
      <c r="C330" s="432" t="s">
        <v>2312</v>
      </c>
      <c r="D330" s="433" t="s">
        <v>505</v>
      </c>
      <c r="E330" s="434"/>
      <c r="F330" s="435"/>
      <c r="G330" s="436">
        <v>-142000</v>
      </c>
      <c r="H330" s="436">
        <f t="shared" si="4"/>
        <v>142</v>
      </c>
      <c r="I330" s="437"/>
      <c r="J330" s="437"/>
      <c r="K330" s="437"/>
      <c r="L330" s="437"/>
      <c r="M330" s="437"/>
      <c r="N330" s="437"/>
      <c r="O330" s="437"/>
      <c r="P330" s="437"/>
      <c r="Q330" s="437"/>
      <c r="R330" s="437"/>
      <c r="S330" s="437"/>
    </row>
    <row r="331" spans="1:19" ht="12.75" customHeight="1" x14ac:dyDescent="0.25">
      <c r="A331" s="431">
        <v>5</v>
      </c>
      <c r="B331" s="431">
        <v>0</v>
      </c>
      <c r="C331" s="432" t="s">
        <v>2313</v>
      </c>
      <c r="D331" s="433" t="s">
        <v>506</v>
      </c>
      <c r="E331" s="434"/>
      <c r="F331" s="435"/>
      <c r="G331" s="436">
        <v>-142000</v>
      </c>
      <c r="H331" s="436">
        <f t="shared" si="4"/>
        <v>142</v>
      </c>
      <c r="I331" s="437"/>
      <c r="J331" s="437"/>
      <c r="K331" s="437"/>
      <c r="L331" s="437"/>
      <c r="M331" s="437"/>
      <c r="N331" s="437"/>
      <c r="O331" s="437"/>
      <c r="P331" s="437"/>
      <c r="Q331" s="437"/>
      <c r="R331" s="437"/>
      <c r="S331" s="437"/>
    </row>
    <row r="332" spans="1:19" ht="12.75" customHeight="1" x14ac:dyDescent="0.25">
      <c r="A332" s="431">
        <v>2</v>
      </c>
      <c r="B332" s="431">
        <v>3</v>
      </c>
      <c r="C332" s="432" t="s">
        <v>508</v>
      </c>
      <c r="D332" s="433" t="s">
        <v>509</v>
      </c>
      <c r="E332" s="434"/>
      <c r="F332" s="435"/>
      <c r="G332" s="436">
        <v>-373728722</v>
      </c>
      <c r="H332" s="436">
        <f t="shared" ref="H332:H371" si="5">+G332/1000*-1</f>
        <v>373728.72200000001</v>
      </c>
      <c r="I332" s="437"/>
      <c r="J332" s="437"/>
      <c r="K332" s="437"/>
      <c r="L332" s="437"/>
      <c r="M332" s="437"/>
      <c r="N332" s="437"/>
      <c r="O332" s="437"/>
      <c r="P332" s="437"/>
      <c r="Q332" s="437"/>
      <c r="R332" s="437"/>
      <c r="S332" s="437"/>
    </row>
    <row r="333" spans="1:19" ht="12.75" customHeight="1" x14ac:dyDescent="0.25">
      <c r="A333" s="431">
        <v>3</v>
      </c>
      <c r="B333" s="431">
        <v>2</v>
      </c>
      <c r="C333" s="432" t="s">
        <v>510</v>
      </c>
      <c r="D333" s="433" t="s">
        <v>511</v>
      </c>
      <c r="E333" s="434"/>
      <c r="F333" s="435"/>
      <c r="G333" s="436">
        <v>-313583152</v>
      </c>
      <c r="H333" s="436">
        <f t="shared" si="5"/>
        <v>313583.152</v>
      </c>
      <c r="I333" s="437"/>
      <c r="J333" s="437"/>
      <c r="K333" s="437"/>
      <c r="L333" s="437"/>
      <c r="M333" s="437"/>
      <c r="N333" s="437"/>
      <c r="O333" s="437"/>
      <c r="P333" s="437"/>
      <c r="Q333" s="437"/>
      <c r="R333" s="437"/>
      <c r="S333" s="437"/>
    </row>
    <row r="334" spans="1:19" ht="12.75" customHeight="1" x14ac:dyDescent="0.25">
      <c r="A334" s="431">
        <v>4</v>
      </c>
      <c r="B334" s="431">
        <v>1</v>
      </c>
      <c r="C334" s="432" t="s">
        <v>2314</v>
      </c>
      <c r="D334" s="433" t="s">
        <v>514</v>
      </c>
      <c r="E334" s="434"/>
      <c r="F334" s="435"/>
      <c r="G334" s="436">
        <v>-273339731</v>
      </c>
      <c r="H334" s="436">
        <f t="shared" si="5"/>
        <v>273339.73100000003</v>
      </c>
      <c r="I334" s="437"/>
      <c r="J334" s="437"/>
      <c r="K334" s="437"/>
      <c r="L334" s="437"/>
      <c r="M334" s="437"/>
      <c r="N334" s="437"/>
      <c r="O334" s="437"/>
      <c r="P334" s="437"/>
      <c r="Q334" s="437"/>
      <c r="R334" s="437"/>
      <c r="S334" s="437"/>
    </row>
    <row r="335" spans="1:19" ht="12.75" customHeight="1" x14ac:dyDescent="0.25">
      <c r="A335" s="431">
        <v>5</v>
      </c>
      <c r="B335" s="431">
        <v>0</v>
      </c>
      <c r="C335" s="432" t="s">
        <v>2315</v>
      </c>
      <c r="D335" s="433" t="s">
        <v>515</v>
      </c>
      <c r="E335" s="434"/>
      <c r="F335" s="435"/>
      <c r="G335" s="436">
        <v>-5932180</v>
      </c>
      <c r="H335" s="436">
        <f t="shared" si="5"/>
        <v>5932.18</v>
      </c>
      <c r="I335" s="437"/>
      <c r="J335" s="437"/>
      <c r="K335" s="437"/>
      <c r="L335" s="437"/>
      <c r="M335" s="437"/>
      <c r="N335" s="437"/>
      <c r="O335" s="437"/>
      <c r="P335" s="437"/>
      <c r="Q335" s="437"/>
      <c r="R335" s="437"/>
      <c r="S335" s="437"/>
    </row>
    <row r="336" spans="1:19" ht="12.75" customHeight="1" x14ac:dyDescent="0.25">
      <c r="A336" s="431">
        <v>5</v>
      </c>
      <c r="B336" s="431">
        <v>0</v>
      </c>
      <c r="C336" s="432" t="s">
        <v>2316</v>
      </c>
      <c r="D336" s="433" t="s">
        <v>516</v>
      </c>
      <c r="E336" s="434"/>
      <c r="F336" s="435"/>
      <c r="G336" s="436">
        <v>-33640822</v>
      </c>
      <c r="H336" s="436">
        <f t="shared" si="5"/>
        <v>33640.822</v>
      </c>
      <c r="I336" s="437"/>
      <c r="J336" s="437"/>
      <c r="K336" s="437"/>
      <c r="L336" s="437"/>
      <c r="M336" s="437"/>
      <c r="N336" s="437"/>
      <c r="O336" s="437"/>
      <c r="P336" s="437"/>
      <c r="Q336" s="437"/>
      <c r="R336" s="437"/>
      <c r="S336" s="437"/>
    </row>
    <row r="337" spans="1:19" ht="12.75" customHeight="1" x14ac:dyDescent="0.25">
      <c r="A337" s="431">
        <v>5</v>
      </c>
      <c r="B337" s="431">
        <v>0</v>
      </c>
      <c r="C337" s="432" t="s">
        <v>2317</v>
      </c>
      <c r="D337" s="433" t="s">
        <v>517</v>
      </c>
      <c r="E337" s="434"/>
      <c r="F337" s="435"/>
      <c r="G337" s="436">
        <v>-100566883</v>
      </c>
      <c r="H337" s="436">
        <f t="shared" si="5"/>
        <v>100566.883</v>
      </c>
      <c r="I337" s="437"/>
      <c r="J337" s="437"/>
      <c r="K337" s="437"/>
      <c r="L337" s="437"/>
      <c r="M337" s="437"/>
      <c r="N337" s="437"/>
      <c r="O337" s="437"/>
      <c r="P337" s="437"/>
      <c r="Q337" s="437"/>
      <c r="R337" s="437"/>
      <c r="S337" s="437"/>
    </row>
    <row r="338" spans="1:19" ht="12.75" customHeight="1" x14ac:dyDescent="0.25">
      <c r="A338" s="431">
        <v>5</v>
      </c>
      <c r="B338" s="431">
        <v>0</v>
      </c>
      <c r="C338" s="432" t="s">
        <v>2318</v>
      </c>
      <c r="D338" s="433" t="s">
        <v>518</v>
      </c>
      <c r="E338" s="434"/>
      <c r="F338" s="435"/>
      <c r="G338" s="436">
        <v>-34277467</v>
      </c>
      <c r="H338" s="436">
        <f t="shared" si="5"/>
        <v>34277.466999999997</v>
      </c>
      <c r="I338" s="437"/>
      <c r="J338" s="437"/>
      <c r="K338" s="437"/>
      <c r="L338" s="437"/>
      <c r="M338" s="437"/>
      <c r="N338" s="437"/>
      <c r="O338" s="437"/>
      <c r="P338" s="437"/>
      <c r="Q338" s="437"/>
      <c r="R338" s="437"/>
      <c r="S338" s="437"/>
    </row>
    <row r="339" spans="1:19" ht="12.75" customHeight="1" x14ac:dyDescent="0.25">
      <c r="A339" s="431">
        <v>5</v>
      </c>
      <c r="B339" s="431">
        <v>0</v>
      </c>
      <c r="C339" s="432" t="s">
        <v>2319</v>
      </c>
      <c r="D339" s="433" t="s">
        <v>519</v>
      </c>
      <c r="E339" s="434"/>
      <c r="F339" s="435"/>
      <c r="G339" s="436">
        <v>-22352202</v>
      </c>
      <c r="H339" s="436">
        <f t="shared" si="5"/>
        <v>22352.202000000001</v>
      </c>
      <c r="I339" s="437"/>
      <c r="J339" s="437"/>
      <c r="K339" s="437"/>
      <c r="L339" s="437"/>
      <c r="M339" s="437"/>
      <c r="N339" s="437"/>
      <c r="O339" s="437"/>
      <c r="P339" s="437"/>
      <c r="Q339" s="437"/>
      <c r="R339" s="437"/>
      <c r="S339" s="437"/>
    </row>
    <row r="340" spans="1:19" ht="12.75" customHeight="1" x14ac:dyDescent="0.25">
      <c r="A340" s="431">
        <v>5</v>
      </c>
      <c r="B340" s="431">
        <v>0</v>
      </c>
      <c r="C340" s="432" t="s">
        <v>2320</v>
      </c>
      <c r="D340" s="433" t="s">
        <v>520</v>
      </c>
      <c r="E340" s="434"/>
      <c r="F340" s="435"/>
      <c r="G340" s="436">
        <v>-67113280</v>
      </c>
      <c r="H340" s="436">
        <f t="shared" si="5"/>
        <v>67113.279999999999</v>
      </c>
      <c r="I340" s="437"/>
      <c r="J340" s="437"/>
      <c r="K340" s="437"/>
      <c r="L340" s="437"/>
      <c r="M340" s="437"/>
      <c r="N340" s="437"/>
      <c r="O340" s="437"/>
      <c r="P340" s="437"/>
      <c r="Q340" s="437"/>
      <c r="R340" s="437"/>
      <c r="S340" s="437"/>
    </row>
    <row r="341" spans="1:19" ht="12.75" customHeight="1" x14ac:dyDescent="0.25">
      <c r="A341" s="431">
        <v>5</v>
      </c>
      <c r="B341" s="431">
        <v>0</v>
      </c>
      <c r="C341" s="432" t="s">
        <v>2321</v>
      </c>
      <c r="D341" s="433" t="s">
        <v>521</v>
      </c>
      <c r="E341" s="434"/>
      <c r="F341" s="435"/>
      <c r="G341" s="436">
        <v>-9456897</v>
      </c>
      <c r="H341" s="436">
        <f t="shared" si="5"/>
        <v>9456.8970000000008</v>
      </c>
      <c r="I341" s="437"/>
      <c r="J341" s="437"/>
      <c r="K341" s="437"/>
      <c r="L341" s="437"/>
      <c r="M341" s="437"/>
      <c r="N341" s="437"/>
      <c r="O341" s="437"/>
      <c r="P341" s="437"/>
      <c r="Q341" s="437"/>
      <c r="R341" s="437"/>
      <c r="S341" s="437"/>
    </row>
    <row r="342" spans="1:19" ht="12.75" customHeight="1" x14ac:dyDescent="0.25">
      <c r="A342" s="431">
        <v>4</v>
      </c>
      <c r="B342" s="431">
        <v>1</v>
      </c>
      <c r="C342" s="432" t="s">
        <v>2322</v>
      </c>
      <c r="D342" s="433" t="s">
        <v>522</v>
      </c>
      <c r="E342" s="434"/>
      <c r="F342" s="435"/>
      <c r="G342" s="436">
        <v>-40243421</v>
      </c>
      <c r="H342" s="436">
        <f t="shared" si="5"/>
        <v>40243.421000000002</v>
      </c>
      <c r="I342" s="437"/>
      <c r="J342" s="437"/>
      <c r="K342" s="437"/>
      <c r="L342" s="437"/>
      <c r="M342" s="437"/>
      <c r="N342" s="437"/>
      <c r="O342" s="437"/>
      <c r="P342" s="437"/>
      <c r="Q342" s="437"/>
      <c r="R342" s="437"/>
      <c r="S342" s="437"/>
    </row>
    <row r="343" spans="1:19" ht="12.75" customHeight="1" x14ac:dyDescent="0.25">
      <c r="A343" s="431">
        <v>5</v>
      </c>
      <c r="B343" s="431">
        <v>0</v>
      </c>
      <c r="C343" s="432" t="s">
        <v>2323</v>
      </c>
      <c r="D343" s="433" t="s">
        <v>523</v>
      </c>
      <c r="E343" s="434"/>
      <c r="F343" s="435"/>
      <c r="G343" s="436">
        <v>-1800000</v>
      </c>
      <c r="H343" s="436">
        <f t="shared" si="5"/>
        <v>1800</v>
      </c>
      <c r="I343" s="437"/>
      <c r="J343" s="437"/>
      <c r="K343" s="437"/>
      <c r="L343" s="437"/>
      <c r="M343" s="437"/>
      <c r="N343" s="437"/>
      <c r="O343" s="437"/>
      <c r="P343" s="437"/>
      <c r="Q343" s="437"/>
      <c r="R343" s="437"/>
      <c r="S343" s="437"/>
    </row>
    <row r="344" spans="1:19" ht="12.75" customHeight="1" x14ac:dyDescent="0.25">
      <c r="A344" s="431">
        <v>5</v>
      </c>
      <c r="B344" s="431">
        <v>0</v>
      </c>
      <c r="C344" s="432" t="s">
        <v>2324</v>
      </c>
      <c r="D344" s="433" t="s">
        <v>525</v>
      </c>
      <c r="E344" s="434"/>
      <c r="F344" s="435"/>
      <c r="G344" s="436">
        <v>-344000</v>
      </c>
      <c r="H344" s="436">
        <f t="shared" si="5"/>
        <v>344</v>
      </c>
      <c r="I344" s="437"/>
      <c r="J344" s="437"/>
      <c r="K344" s="437"/>
      <c r="L344" s="437"/>
      <c r="M344" s="437"/>
      <c r="N344" s="437"/>
      <c r="O344" s="437"/>
      <c r="P344" s="437"/>
      <c r="Q344" s="437"/>
      <c r="R344" s="437"/>
      <c r="S344" s="437"/>
    </row>
    <row r="345" spans="1:19" ht="12.75" customHeight="1" x14ac:dyDescent="0.25">
      <c r="A345" s="431">
        <v>5</v>
      </c>
      <c r="B345" s="431">
        <v>0</v>
      </c>
      <c r="C345" s="432" t="s">
        <v>2325</v>
      </c>
      <c r="D345" s="433" t="s">
        <v>526</v>
      </c>
      <c r="E345" s="434"/>
      <c r="F345" s="435"/>
      <c r="G345" s="436">
        <v>-38099421</v>
      </c>
      <c r="H345" s="436">
        <f t="shared" si="5"/>
        <v>38099.421000000002</v>
      </c>
      <c r="I345" s="437"/>
      <c r="J345" s="437"/>
      <c r="K345" s="437"/>
      <c r="L345" s="437"/>
      <c r="M345" s="437"/>
      <c r="N345" s="437"/>
      <c r="O345" s="437"/>
      <c r="P345" s="437"/>
      <c r="Q345" s="437"/>
      <c r="R345" s="437"/>
      <c r="S345" s="437"/>
    </row>
    <row r="346" spans="1:19" ht="12.75" customHeight="1" x14ac:dyDescent="0.25">
      <c r="A346" s="431">
        <v>3</v>
      </c>
      <c r="B346" s="431">
        <v>2</v>
      </c>
      <c r="C346" s="432" t="s">
        <v>543</v>
      </c>
      <c r="D346" s="433" t="s">
        <v>1972</v>
      </c>
      <c r="E346" s="434"/>
      <c r="F346" s="435"/>
      <c r="G346" s="436">
        <v>-60145570</v>
      </c>
      <c r="H346" s="436">
        <f t="shared" si="5"/>
        <v>60145.57</v>
      </c>
      <c r="I346" s="437"/>
      <c r="J346" s="437"/>
      <c r="K346" s="437"/>
      <c r="L346" s="437"/>
      <c r="M346" s="437"/>
      <c r="N346" s="437"/>
      <c r="O346" s="437"/>
      <c r="P346" s="437"/>
      <c r="Q346" s="437"/>
      <c r="R346" s="437"/>
      <c r="S346" s="437"/>
    </row>
    <row r="347" spans="1:19" ht="12.75" customHeight="1" x14ac:dyDescent="0.25">
      <c r="A347" s="431">
        <v>4</v>
      </c>
      <c r="B347" s="431">
        <v>1</v>
      </c>
      <c r="C347" s="432" t="s">
        <v>2326</v>
      </c>
      <c r="D347" s="433" t="s">
        <v>547</v>
      </c>
      <c r="E347" s="434"/>
      <c r="F347" s="435"/>
      <c r="G347" s="436">
        <v>-30000000</v>
      </c>
      <c r="H347" s="436">
        <f t="shared" si="5"/>
        <v>30000</v>
      </c>
      <c r="I347" s="437"/>
      <c r="J347" s="437"/>
      <c r="K347" s="437"/>
      <c r="L347" s="437"/>
      <c r="M347" s="437"/>
      <c r="N347" s="437"/>
      <c r="O347" s="437"/>
      <c r="P347" s="437"/>
      <c r="Q347" s="437"/>
      <c r="R347" s="437"/>
      <c r="S347" s="437"/>
    </row>
    <row r="348" spans="1:19" ht="12.75" customHeight="1" x14ac:dyDescent="0.25">
      <c r="A348" s="431">
        <v>5</v>
      </c>
      <c r="B348" s="431">
        <v>0</v>
      </c>
      <c r="C348" s="432" t="s">
        <v>2327</v>
      </c>
      <c r="D348" s="433" t="s">
        <v>548</v>
      </c>
      <c r="E348" s="434"/>
      <c r="F348" s="435"/>
      <c r="G348" s="436">
        <v>-30000000</v>
      </c>
      <c r="H348" s="436">
        <f t="shared" si="5"/>
        <v>30000</v>
      </c>
      <c r="I348" s="437"/>
      <c r="J348" s="437"/>
      <c r="K348" s="437"/>
      <c r="L348" s="437"/>
      <c r="M348" s="437"/>
      <c r="N348" s="437"/>
      <c r="O348" s="437"/>
      <c r="P348" s="437"/>
      <c r="Q348" s="437"/>
      <c r="R348" s="437"/>
      <c r="S348" s="437"/>
    </row>
    <row r="349" spans="1:19" ht="12.75" customHeight="1" x14ac:dyDescent="0.25">
      <c r="A349" s="431">
        <v>4</v>
      </c>
      <c r="B349" s="431">
        <v>1</v>
      </c>
      <c r="C349" s="432" t="s">
        <v>2328</v>
      </c>
      <c r="D349" s="433" t="s">
        <v>552</v>
      </c>
      <c r="E349" s="434"/>
      <c r="F349" s="435"/>
      <c r="G349" s="436">
        <v>-1605000</v>
      </c>
      <c r="H349" s="436">
        <f t="shared" si="5"/>
        <v>1605</v>
      </c>
      <c r="I349" s="437"/>
      <c r="J349" s="437"/>
      <c r="K349" s="437"/>
      <c r="L349" s="437"/>
      <c r="M349" s="437"/>
      <c r="N349" s="437"/>
      <c r="O349" s="437"/>
      <c r="P349" s="437"/>
      <c r="Q349" s="437"/>
      <c r="R349" s="437"/>
      <c r="S349" s="437"/>
    </row>
    <row r="350" spans="1:19" ht="12.75" customHeight="1" x14ac:dyDescent="0.25">
      <c r="A350" s="431">
        <v>5</v>
      </c>
      <c r="B350" s="431">
        <v>0</v>
      </c>
      <c r="C350" s="432" t="s">
        <v>2329</v>
      </c>
      <c r="D350" s="433" t="s">
        <v>553</v>
      </c>
      <c r="E350" s="434"/>
      <c r="F350" s="435"/>
      <c r="G350" s="436">
        <v>-860000</v>
      </c>
      <c r="H350" s="436">
        <f t="shared" si="5"/>
        <v>860</v>
      </c>
      <c r="I350" s="437"/>
      <c r="J350" s="437"/>
      <c r="K350" s="437"/>
      <c r="L350" s="437"/>
      <c r="M350" s="437"/>
      <c r="N350" s="437"/>
      <c r="O350" s="437"/>
      <c r="P350" s="437"/>
      <c r="Q350" s="437"/>
      <c r="R350" s="437"/>
      <c r="S350" s="437"/>
    </row>
    <row r="351" spans="1:19" ht="12.75" customHeight="1" x14ac:dyDescent="0.25">
      <c r="A351" s="431">
        <v>5</v>
      </c>
      <c r="B351" s="431">
        <v>0</v>
      </c>
      <c r="C351" s="432" t="s">
        <v>2330</v>
      </c>
      <c r="D351" s="433" t="s">
        <v>554</v>
      </c>
      <c r="E351" s="434"/>
      <c r="F351" s="435"/>
      <c r="G351" s="436">
        <v>-510000</v>
      </c>
      <c r="H351" s="436">
        <f t="shared" si="5"/>
        <v>510</v>
      </c>
      <c r="I351" s="437"/>
      <c r="J351" s="437"/>
      <c r="K351" s="437"/>
      <c r="L351" s="437"/>
      <c r="M351" s="437"/>
      <c r="N351" s="437"/>
      <c r="O351" s="437"/>
      <c r="P351" s="437"/>
      <c r="Q351" s="437"/>
      <c r="R351" s="437"/>
      <c r="S351" s="437"/>
    </row>
    <row r="352" spans="1:19" ht="12.75" customHeight="1" x14ac:dyDescent="0.25">
      <c r="A352" s="431">
        <v>5</v>
      </c>
      <c r="B352" s="431">
        <v>0</v>
      </c>
      <c r="C352" s="432" t="s">
        <v>2331</v>
      </c>
      <c r="D352" s="433" t="s">
        <v>555</v>
      </c>
      <c r="E352" s="434"/>
      <c r="F352" s="435"/>
      <c r="G352" s="436">
        <v>-200000</v>
      </c>
      <c r="H352" s="436">
        <f t="shared" si="5"/>
        <v>200</v>
      </c>
      <c r="I352" s="437"/>
      <c r="J352" s="437"/>
      <c r="K352" s="437"/>
      <c r="L352" s="437"/>
      <c r="M352" s="437"/>
      <c r="N352" s="437"/>
      <c r="O352" s="437"/>
      <c r="P352" s="437"/>
      <c r="Q352" s="437"/>
      <c r="R352" s="437"/>
      <c r="S352" s="437"/>
    </row>
    <row r="353" spans="1:19" ht="12.75" customHeight="1" x14ac:dyDescent="0.25">
      <c r="A353" s="431">
        <v>5</v>
      </c>
      <c r="B353" s="431">
        <v>0</v>
      </c>
      <c r="C353" s="432" t="s">
        <v>2332</v>
      </c>
      <c r="D353" s="433" t="s">
        <v>557</v>
      </c>
      <c r="E353" s="434"/>
      <c r="F353" s="435"/>
      <c r="G353" s="436">
        <v>-35000</v>
      </c>
      <c r="H353" s="436">
        <f t="shared" si="5"/>
        <v>35</v>
      </c>
      <c r="I353" s="437"/>
      <c r="J353" s="437"/>
      <c r="K353" s="437"/>
      <c r="L353" s="437"/>
      <c r="M353" s="437"/>
      <c r="N353" s="437"/>
      <c r="O353" s="437"/>
      <c r="P353" s="437"/>
      <c r="Q353" s="437"/>
      <c r="R353" s="437"/>
      <c r="S353" s="437"/>
    </row>
    <row r="354" spans="1:19" ht="12.75" customHeight="1" x14ac:dyDescent="0.25">
      <c r="A354" s="431">
        <v>4</v>
      </c>
      <c r="B354" s="431">
        <v>1</v>
      </c>
      <c r="C354" s="432" t="s">
        <v>2333</v>
      </c>
      <c r="D354" s="433" t="s">
        <v>560</v>
      </c>
      <c r="E354" s="434"/>
      <c r="F354" s="435"/>
      <c r="G354" s="436">
        <v>-10042900</v>
      </c>
      <c r="H354" s="436">
        <f t="shared" si="5"/>
        <v>10042.9</v>
      </c>
      <c r="I354" s="437"/>
      <c r="J354" s="437"/>
      <c r="K354" s="437"/>
      <c r="L354" s="437"/>
      <c r="M354" s="437"/>
      <c r="N354" s="437"/>
      <c r="O354" s="437"/>
      <c r="P354" s="437"/>
      <c r="Q354" s="437"/>
      <c r="R354" s="437"/>
      <c r="S354" s="437"/>
    </row>
    <row r="355" spans="1:19" ht="12.75" customHeight="1" x14ac:dyDescent="0.25">
      <c r="A355" s="431">
        <v>5</v>
      </c>
      <c r="B355" s="431">
        <v>0</v>
      </c>
      <c r="C355" s="432" t="s">
        <v>2334</v>
      </c>
      <c r="D355" s="433" t="s">
        <v>561</v>
      </c>
      <c r="E355" s="434"/>
      <c r="F355" s="435"/>
      <c r="G355" s="436">
        <v>-8931400</v>
      </c>
      <c r="H355" s="436">
        <f t="shared" si="5"/>
        <v>8931.4</v>
      </c>
      <c r="I355" s="437"/>
      <c r="J355" s="437"/>
      <c r="K355" s="437"/>
      <c r="L355" s="437"/>
      <c r="M355" s="437"/>
      <c r="N355" s="437"/>
      <c r="O355" s="437"/>
      <c r="P355" s="437"/>
      <c r="Q355" s="437"/>
      <c r="R355" s="437"/>
      <c r="S355" s="437"/>
    </row>
    <row r="356" spans="1:19" ht="12.75" customHeight="1" x14ac:dyDescent="0.25">
      <c r="A356" s="431">
        <v>5</v>
      </c>
      <c r="B356" s="431">
        <v>0</v>
      </c>
      <c r="C356" s="432" t="s">
        <v>2335</v>
      </c>
      <c r="D356" s="433" t="s">
        <v>562</v>
      </c>
      <c r="E356" s="434"/>
      <c r="F356" s="435"/>
      <c r="G356" s="436">
        <v>-1111500</v>
      </c>
      <c r="H356" s="436">
        <f t="shared" si="5"/>
        <v>1111.5</v>
      </c>
      <c r="I356" s="437"/>
      <c r="J356" s="437"/>
      <c r="K356" s="437"/>
      <c r="L356" s="437"/>
      <c r="M356" s="437"/>
      <c r="N356" s="437"/>
      <c r="O356" s="437"/>
      <c r="P356" s="437"/>
      <c r="Q356" s="437"/>
      <c r="R356" s="437"/>
      <c r="S356" s="437"/>
    </row>
    <row r="357" spans="1:19" ht="12.75" customHeight="1" x14ac:dyDescent="0.25">
      <c r="A357" s="431">
        <v>4</v>
      </c>
      <c r="B357" s="431">
        <v>1</v>
      </c>
      <c r="C357" s="432" t="s">
        <v>2336</v>
      </c>
      <c r="D357" s="433" t="s">
        <v>565</v>
      </c>
      <c r="E357" s="434"/>
      <c r="F357" s="435"/>
      <c r="G357" s="436">
        <v>-13850000</v>
      </c>
      <c r="H357" s="436">
        <f t="shared" si="5"/>
        <v>13850</v>
      </c>
      <c r="I357" s="437"/>
      <c r="J357" s="437"/>
      <c r="K357" s="437"/>
      <c r="L357" s="437"/>
      <c r="M357" s="437"/>
      <c r="N357" s="437"/>
      <c r="O357" s="437"/>
      <c r="P357" s="437"/>
      <c r="Q357" s="437"/>
      <c r="R357" s="437"/>
      <c r="S357" s="437"/>
    </row>
    <row r="358" spans="1:19" ht="12.75" customHeight="1" x14ac:dyDescent="0.25">
      <c r="A358" s="431">
        <v>5</v>
      </c>
      <c r="B358" s="431">
        <v>0</v>
      </c>
      <c r="C358" s="432" t="s">
        <v>2337</v>
      </c>
      <c r="D358" s="433" t="s">
        <v>566</v>
      </c>
      <c r="E358" s="434"/>
      <c r="F358" s="435"/>
      <c r="G358" s="436">
        <v>-350000</v>
      </c>
      <c r="H358" s="436">
        <f t="shared" si="5"/>
        <v>350</v>
      </c>
      <c r="I358" s="437"/>
      <c r="J358" s="437"/>
      <c r="K358" s="437"/>
      <c r="L358" s="437"/>
      <c r="M358" s="437"/>
      <c r="N358" s="437"/>
      <c r="O358" s="437"/>
      <c r="P358" s="437"/>
      <c r="Q358" s="437"/>
      <c r="R358" s="437"/>
      <c r="S358" s="437"/>
    </row>
    <row r="359" spans="1:19" ht="12.75" customHeight="1" x14ac:dyDescent="0.25">
      <c r="A359" s="431">
        <v>5</v>
      </c>
      <c r="B359" s="431">
        <v>0</v>
      </c>
      <c r="C359" s="432" t="s">
        <v>2338</v>
      </c>
      <c r="D359" s="433" t="s">
        <v>567</v>
      </c>
      <c r="E359" s="434"/>
      <c r="F359" s="435"/>
      <c r="G359" s="436">
        <v>-13500000</v>
      </c>
      <c r="H359" s="436">
        <f t="shared" si="5"/>
        <v>13500</v>
      </c>
      <c r="I359" s="437"/>
      <c r="J359" s="437"/>
      <c r="K359" s="437"/>
      <c r="L359" s="437"/>
      <c r="M359" s="437"/>
      <c r="N359" s="437"/>
      <c r="O359" s="437"/>
      <c r="P359" s="437"/>
      <c r="Q359" s="437"/>
      <c r="R359" s="437"/>
      <c r="S359" s="437"/>
    </row>
    <row r="360" spans="1:19" ht="12.75" customHeight="1" x14ac:dyDescent="0.25">
      <c r="A360" s="431">
        <v>4</v>
      </c>
      <c r="B360" s="431">
        <v>1</v>
      </c>
      <c r="C360" s="432" t="s">
        <v>2339</v>
      </c>
      <c r="D360" s="433" t="s">
        <v>570</v>
      </c>
      <c r="E360" s="434"/>
      <c r="F360" s="435"/>
      <c r="G360" s="436">
        <v>-1000000</v>
      </c>
      <c r="H360" s="436">
        <f t="shared" si="5"/>
        <v>1000</v>
      </c>
      <c r="I360" s="437"/>
      <c r="J360" s="437"/>
      <c r="K360" s="437"/>
      <c r="L360" s="437"/>
      <c r="M360" s="437"/>
      <c r="N360" s="437"/>
      <c r="O360" s="437"/>
      <c r="P360" s="437"/>
      <c r="Q360" s="437"/>
      <c r="R360" s="437"/>
      <c r="S360" s="437"/>
    </row>
    <row r="361" spans="1:19" ht="12.75" customHeight="1" x14ac:dyDescent="0.25">
      <c r="A361" s="431">
        <v>5</v>
      </c>
      <c r="B361" s="431">
        <v>0</v>
      </c>
      <c r="C361" s="432" t="s">
        <v>2340</v>
      </c>
      <c r="D361" s="433" t="s">
        <v>571</v>
      </c>
      <c r="E361" s="434"/>
      <c r="F361" s="435"/>
      <c r="G361" s="436">
        <v>-1000000</v>
      </c>
      <c r="H361" s="436">
        <f t="shared" si="5"/>
        <v>1000</v>
      </c>
      <c r="I361" s="437"/>
      <c r="J361" s="437"/>
      <c r="K361" s="437"/>
      <c r="L361" s="437"/>
      <c r="M361" s="437"/>
      <c r="N361" s="437"/>
      <c r="O361" s="437"/>
      <c r="P361" s="437"/>
      <c r="Q361" s="437"/>
      <c r="R361" s="437"/>
      <c r="S361" s="437"/>
    </row>
    <row r="362" spans="1:19" ht="12.75" customHeight="1" x14ac:dyDescent="0.25">
      <c r="A362" s="431">
        <v>4</v>
      </c>
      <c r="B362" s="431">
        <v>1</v>
      </c>
      <c r="C362" s="432" t="s">
        <v>2341</v>
      </c>
      <c r="D362" s="433" t="s">
        <v>574</v>
      </c>
      <c r="E362" s="434"/>
      <c r="F362" s="435"/>
      <c r="G362" s="436">
        <v>-3647670</v>
      </c>
      <c r="H362" s="436">
        <f t="shared" si="5"/>
        <v>3647.67</v>
      </c>
      <c r="I362" s="437"/>
      <c r="J362" s="437"/>
      <c r="K362" s="437"/>
      <c r="L362" s="437"/>
      <c r="M362" s="437"/>
      <c r="N362" s="437"/>
      <c r="O362" s="437"/>
      <c r="P362" s="437"/>
      <c r="Q362" s="437"/>
      <c r="R362" s="437"/>
      <c r="S362" s="437"/>
    </row>
    <row r="363" spans="1:19" ht="12.75" customHeight="1" x14ac:dyDescent="0.25">
      <c r="A363" s="431">
        <v>5</v>
      </c>
      <c r="B363" s="431">
        <v>0</v>
      </c>
      <c r="C363" s="432" t="s">
        <v>2342</v>
      </c>
      <c r="D363" s="433" t="s">
        <v>2343</v>
      </c>
      <c r="E363" s="434"/>
      <c r="F363" s="435"/>
      <c r="G363" s="436">
        <v>-3647670</v>
      </c>
      <c r="H363" s="436">
        <f t="shared" si="5"/>
        <v>3647.67</v>
      </c>
      <c r="I363" s="437"/>
      <c r="J363" s="437"/>
      <c r="K363" s="437"/>
      <c r="L363" s="437"/>
      <c r="M363" s="437"/>
      <c r="N363" s="437"/>
      <c r="O363" s="437"/>
      <c r="P363" s="437"/>
      <c r="Q363" s="437"/>
      <c r="R363" s="437"/>
      <c r="S363" s="437"/>
    </row>
    <row r="364" spans="1:19" ht="12.75" customHeight="1" x14ac:dyDescent="0.25">
      <c r="A364" s="431">
        <v>2</v>
      </c>
      <c r="B364" s="431">
        <v>3</v>
      </c>
      <c r="C364" s="432" t="s">
        <v>590</v>
      </c>
      <c r="D364" s="433" t="s">
        <v>591</v>
      </c>
      <c r="E364" s="434"/>
      <c r="F364" s="435"/>
      <c r="G364" s="436">
        <v>-280000</v>
      </c>
      <c r="H364" s="436">
        <f t="shared" si="5"/>
        <v>280</v>
      </c>
      <c r="I364" s="437"/>
      <c r="J364" s="437"/>
      <c r="K364" s="437"/>
      <c r="L364" s="437"/>
      <c r="M364" s="437"/>
      <c r="N364" s="437"/>
      <c r="O364" s="437"/>
      <c r="P364" s="437"/>
      <c r="Q364" s="437"/>
      <c r="R364" s="437"/>
      <c r="S364" s="437"/>
    </row>
    <row r="365" spans="1:19" ht="12.75" customHeight="1" x14ac:dyDescent="0.25">
      <c r="A365" s="431">
        <v>3</v>
      </c>
      <c r="B365" s="431">
        <v>2</v>
      </c>
      <c r="C365" s="432" t="s">
        <v>598</v>
      </c>
      <c r="D365" s="433" t="s">
        <v>599</v>
      </c>
      <c r="E365" s="434"/>
      <c r="F365" s="435"/>
      <c r="G365" s="436">
        <v>-280000</v>
      </c>
      <c r="H365" s="436">
        <f t="shared" si="5"/>
        <v>280</v>
      </c>
      <c r="I365" s="437"/>
      <c r="J365" s="437"/>
      <c r="K365" s="437"/>
      <c r="L365" s="437"/>
      <c r="M365" s="437"/>
      <c r="N365" s="437"/>
      <c r="O365" s="437"/>
      <c r="P365" s="437"/>
      <c r="Q365" s="437"/>
      <c r="R365" s="437"/>
      <c r="S365" s="437"/>
    </row>
    <row r="366" spans="1:19" ht="12.75" customHeight="1" x14ac:dyDescent="0.25">
      <c r="A366" s="431">
        <v>4</v>
      </c>
      <c r="B366" s="431">
        <v>1</v>
      </c>
      <c r="C366" s="432" t="s">
        <v>2344</v>
      </c>
      <c r="D366" s="433" t="s">
        <v>602</v>
      </c>
      <c r="E366" s="434"/>
      <c r="F366" s="435"/>
      <c r="G366" s="436">
        <v>-280000</v>
      </c>
      <c r="H366" s="436">
        <f t="shared" si="5"/>
        <v>280</v>
      </c>
      <c r="I366" s="437"/>
      <c r="J366" s="437"/>
      <c r="K366" s="437"/>
      <c r="L366" s="437"/>
      <c r="M366" s="437"/>
      <c r="N366" s="437"/>
      <c r="O366" s="437"/>
      <c r="P366" s="437"/>
      <c r="Q366" s="437"/>
      <c r="R366" s="437"/>
      <c r="S366" s="437"/>
    </row>
    <row r="367" spans="1:19" ht="12.75" customHeight="1" x14ac:dyDescent="0.25">
      <c r="A367" s="431">
        <v>5</v>
      </c>
      <c r="B367" s="431">
        <v>0</v>
      </c>
      <c r="C367" s="432" t="s">
        <v>2345</v>
      </c>
      <c r="D367" s="433" t="s">
        <v>603</v>
      </c>
      <c r="E367" s="434"/>
      <c r="F367" s="435"/>
      <c r="G367" s="436">
        <v>-280000</v>
      </c>
      <c r="H367" s="436">
        <f t="shared" si="5"/>
        <v>280</v>
      </c>
      <c r="I367" s="437"/>
      <c r="J367" s="437"/>
      <c r="K367" s="437"/>
      <c r="L367" s="437"/>
      <c r="M367" s="437"/>
      <c r="N367" s="437"/>
      <c r="O367" s="437"/>
      <c r="P367" s="437"/>
      <c r="Q367" s="437"/>
      <c r="R367" s="437"/>
      <c r="S367" s="437"/>
    </row>
    <row r="368" spans="1:19" ht="12.75" customHeight="1" x14ac:dyDescent="0.25">
      <c r="A368" s="431">
        <v>2</v>
      </c>
      <c r="B368" s="431">
        <v>3</v>
      </c>
      <c r="C368" s="432" t="s">
        <v>644</v>
      </c>
      <c r="D368" s="433" t="s">
        <v>645</v>
      </c>
      <c r="E368" s="434"/>
      <c r="F368" s="435"/>
      <c r="G368" s="436">
        <v>-7499999.9999999404</v>
      </c>
      <c r="H368" s="436">
        <f t="shared" si="5"/>
        <v>7499.99999999994</v>
      </c>
      <c r="I368" s="437"/>
      <c r="J368" s="437"/>
      <c r="K368" s="437"/>
      <c r="L368" s="437"/>
      <c r="M368" s="437"/>
      <c r="N368" s="437"/>
      <c r="O368" s="437"/>
      <c r="P368" s="437"/>
      <c r="Q368" s="437"/>
      <c r="R368" s="437"/>
      <c r="S368" s="437"/>
    </row>
    <row r="369" spans="1:19" ht="12.75" customHeight="1" x14ac:dyDescent="0.25">
      <c r="A369" s="431">
        <v>3</v>
      </c>
      <c r="B369" s="431">
        <v>2</v>
      </c>
      <c r="C369" s="432" t="s">
        <v>646</v>
      </c>
      <c r="D369" s="433" t="s">
        <v>647</v>
      </c>
      <c r="E369" s="434"/>
      <c r="F369" s="435"/>
      <c r="G369" s="436">
        <v>-7499999.9999999404</v>
      </c>
      <c r="H369" s="436">
        <f t="shared" si="5"/>
        <v>7499.99999999994</v>
      </c>
      <c r="I369" s="437"/>
      <c r="J369" s="437"/>
      <c r="K369" s="437"/>
      <c r="L369" s="437"/>
      <c r="M369" s="437"/>
      <c r="N369" s="437"/>
      <c r="O369" s="437"/>
      <c r="P369" s="437"/>
      <c r="Q369" s="437"/>
      <c r="R369" s="437"/>
      <c r="S369" s="437"/>
    </row>
    <row r="370" spans="1:19" ht="12.75" customHeight="1" x14ac:dyDescent="0.25">
      <c r="A370" s="431">
        <v>4</v>
      </c>
      <c r="B370" s="431">
        <v>1</v>
      </c>
      <c r="C370" s="432" t="s">
        <v>2346</v>
      </c>
      <c r="D370" s="433" t="s">
        <v>648</v>
      </c>
      <c r="E370" s="434"/>
      <c r="F370" s="435"/>
      <c r="G370" s="436">
        <v>-7499999.9999999404</v>
      </c>
      <c r="H370" s="436">
        <f t="shared" si="5"/>
        <v>7499.99999999994</v>
      </c>
      <c r="I370" s="437"/>
      <c r="J370" s="437"/>
      <c r="K370" s="437"/>
      <c r="L370" s="437"/>
      <c r="M370" s="437"/>
      <c r="N370" s="437"/>
      <c r="O370" s="437"/>
      <c r="P370" s="437"/>
      <c r="Q370" s="437"/>
      <c r="R370" s="437"/>
      <c r="S370" s="437"/>
    </row>
    <row r="371" spans="1:19" ht="12.75" customHeight="1" x14ac:dyDescent="0.25">
      <c r="A371" s="431">
        <v>5</v>
      </c>
      <c r="B371" s="431">
        <v>0</v>
      </c>
      <c r="C371" s="432" t="s">
        <v>2347</v>
      </c>
      <c r="D371" s="433" t="s">
        <v>649</v>
      </c>
      <c r="E371" s="434"/>
      <c r="F371" s="435"/>
      <c r="G371" s="436">
        <v>-7499999.9999999404</v>
      </c>
      <c r="H371" s="436">
        <f t="shared" si="5"/>
        <v>7499.99999999994</v>
      </c>
      <c r="I371" s="437"/>
      <c r="J371" s="437"/>
      <c r="K371" s="437"/>
      <c r="L371" s="437"/>
      <c r="M371" s="437"/>
      <c r="N371" s="437"/>
      <c r="O371" s="437"/>
      <c r="P371" s="437"/>
      <c r="Q371" s="437"/>
      <c r="R371" s="437"/>
      <c r="S371" s="437"/>
    </row>
    <row r="372" spans="1:19" ht="12.75" customHeight="1" x14ac:dyDescent="0.25">
      <c r="A372" s="431">
        <v>1</v>
      </c>
      <c r="B372" s="431">
        <v>4</v>
      </c>
      <c r="C372" s="432" t="s">
        <v>667</v>
      </c>
      <c r="D372" s="433" t="s">
        <v>668</v>
      </c>
      <c r="E372" s="434"/>
      <c r="F372" s="435"/>
      <c r="G372" s="436">
        <v>7718184108.2414999</v>
      </c>
      <c r="H372" s="436">
        <f>+G372/1000</f>
        <v>7718184.1082415003</v>
      </c>
      <c r="I372" s="437"/>
      <c r="J372" s="437"/>
      <c r="K372" s="437"/>
      <c r="L372" s="437"/>
      <c r="M372" s="437"/>
      <c r="N372" s="437"/>
      <c r="O372" s="437"/>
      <c r="P372" s="437"/>
      <c r="Q372" s="437"/>
      <c r="R372" s="437"/>
      <c r="S372" s="437"/>
    </row>
    <row r="373" spans="1:19" ht="12.75" customHeight="1" x14ac:dyDescent="0.25">
      <c r="A373" s="431">
        <v>2</v>
      </c>
      <c r="B373" s="431">
        <v>3</v>
      </c>
      <c r="C373" s="432" t="s">
        <v>669</v>
      </c>
      <c r="D373" s="433" t="s">
        <v>670</v>
      </c>
      <c r="E373" s="434"/>
      <c r="F373" s="435"/>
      <c r="G373" s="436">
        <v>7316258588.2414999</v>
      </c>
      <c r="H373" s="436">
        <f t="shared" ref="H373:H436" si="6">+G373/1000</f>
        <v>7316258.5882414998</v>
      </c>
      <c r="I373" s="437"/>
      <c r="J373" s="437"/>
      <c r="K373" s="437"/>
      <c r="L373" s="437"/>
      <c r="M373" s="437"/>
      <c r="N373" s="437"/>
      <c r="O373" s="437"/>
      <c r="P373" s="437"/>
      <c r="Q373" s="437"/>
      <c r="R373" s="437"/>
      <c r="S373" s="437"/>
    </row>
    <row r="374" spans="1:19" ht="12.75" customHeight="1" x14ac:dyDescent="0.25">
      <c r="A374" s="431">
        <v>3</v>
      </c>
      <c r="B374" s="431">
        <v>2</v>
      </c>
      <c r="C374" s="432" t="s">
        <v>673</v>
      </c>
      <c r="D374" s="433" t="s">
        <v>1956</v>
      </c>
      <c r="E374" s="434"/>
      <c r="F374" s="435"/>
      <c r="G374" s="436">
        <v>6833450433</v>
      </c>
      <c r="H374" s="436">
        <f t="shared" si="6"/>
        <v>6833450.4330000002</v>
      </c>
      <c r="I374" s="437"/>
      <c r="J374" s="437"/>
      <c r="K374" s="437"/>
      <c r="L374" s="437"/>
      <c r="M374" s="437"/>
      <c r="N374" s="437"/>
      <c r="O374" s="437"/>
      <c r="P374" s="437"/>
      <c r="Q374" s="437"/>
      <c r="R374" s="437"/>
      <c r="S374" s="437"/>
    </row>
    <row r="375" spans="1:19" ht="12.75" customHeight="1" x14ac:dyDescent="0.25">
      <c r="A375" s="431">
        <v>4</v>
      </c>
      <c r="B375" s="431">
        <v>1</v>
      </c>
      <c r="C375" s="432" t="s">
        <v>2348</v>
      </c>
      <c r="D375" s="433" t="s">
        <v>675</v>
      </c>
      <c r="E375" s="434"/>
      <c r="F375" s="435"/>
      <c r="G375" s="436">
        <v>51600000</v>
      </c>
      <c r="H375" s="436">
        <f t="shared" si="6"/>
        <v>51600</v>
      </c>
      <c r="I375" s="437"/>
      <c r="J375" s="437"/>
      <c r="K375" s="437"/>
      <c r="L375" s="437"/>
      <c r="M375" s="437"/>
      <c r="N375" s="437"/>
      <c r="O375" s="437"/>
      <c r="P375" s="437"/>
      <c r="Q375" s="437"/>
      <c r="R375" s="437"/>
      <c r="S375" s="437"/>
    </row>
    <row r="376" spans="1:19" ht="12.75" customHeight="1" x14ac:dyDescent="0.25">
      <c r="A376" s="431">
        <v>5</v>
      </c>
      <c r="B376" s="431">
        <v>0</v>
      </c>
      <c r="C376" s="432" t="s">
        <v>2349</v>
      </c>
      <c r="D376" s="433" t="s">
        <v>676</v>
      </c>
      <c r="E376" s="434"/>
      <c r="F376" s="435"/>
      <c r="G376" s="436">
        <v>4200000</v>
      </c>
      <c r="H376" s="436">
        <f t="shared" si="6"/>
        <v>4200</v>
      </c>
      <c r="I376" s="437"/>
      <c r="J376" s="437"/>
      <c r="K376" s="437"/>
      <c r="L376" s="437"/>
      <c r="M376" s="437"/>
      <c r="N376" s="437"/>
      <c r="O376" s="437"/>
      <c r="P376" s="437"/>
      <c r="Q376" s="437"/>
      <c r="R376" s="437"/>
      <c r="S376" s="437"/>
    </row>
    <row r="377" spans="1:19" ht="12.75" customHeight="1" x14ac:dyDescent="0.25">
      <c r="A377" s="431">
        <v>5</v>
      </c>
      <c r="B377" s="431">
        <v>0</v>
      </c>
      <c r="C377" s="432" t="s">
        <v>2350</v>
      </c>
      <c r="D377" s="433" t="s">
        <v>677</v>
      </c>
      <c r="E377" s="434"/>
      <c r="F377" s="435"/>
      <c r="G377" s="436">
        <v>1150000</v>
      </c>
      <c r="H377" s="436">
        <f t="shared" si="6"/>
        <v>1150</v>
      </c>
      <c r="I377" s="437"/>
      <c r="J377" s="437"/>
      <c r="K377" s="437"/>
      <c r="L377" s="437"/>
      <c r="M377" s="437"/>
      <c r="N377" s="437"/>
      <c r="O377" s="437"/>
      <c r="P377" s="437"/>
      <c r="Q377" s="437"/>
      <c r="R377" s="437"/>
      <c r="S377" s="437"/>
    </row>
    <row r="378" spans="1:19" ht="12.75" customHeight="1" x14ac:dyDescent="0.25">
      <c r="A378" s="431">
        <v>5</v>
      </c>
      <c r="B378" s="431">
        <v>0</v>
      </c>
      <c r="C378" s="432" t="s">
        <v>2351</v>
      </c>
      <c r="D378" s="433" t="s">
        <v>678</v>
      </c>
      <c r="E378" s="434"/>
      <c r="F378" s="435"/>
      <c r="G378" s="436">
        <v>1900000</v>
      </c>
      <c r="H378" s="436">
        <f t="shared" si="6"/>
        <v>1900</v>
      </c>
      <c r="I378" s="437"/>
      <c r="J378" s="437"/>
      <c r="K378" s="437"/>
      <c r="L378" s="437"/>
      <c r="M378" s="437"/>
      <c r="N378" s="437"/>
      <c r="O378" s="437"/>
      <c r="P378" s="437"/>
      <c r="Q378" s="437"/>
      <c r="R378" s="437"/>
      <c r="S378" s="437"/>
    </row>
    <row r="379" spans="1:19" ht="12.75" customHeight="1" x14ac:dyDescent="0.25">
      <c r="A379" s="431">
        <v>5</v>
      </c>
      <c r="B379" s="431">
        <v>0</v>
      </c>
      <c r="C379" s="432" t="s">
        <v>2352</v>
      </c>
      <c r="D379" s="433" t="s">
        <v>679</v>
      </c>
      <c r="E379" s="434"/>
      <c r="F379" s="435"/>
      <c r="G379" s="436">
        <v>750000</v>
      </c>
      <c r="H379" s="436">
        <f t="shared" si="6"/>
        <v>750</v>
      </c>
      <c r="I379" s="437"/>
      <c r="J379" s="437"/>
      <c r="K379" s="437"/>
      <c r="L379" s="437"/>
      <c r="M379" s="437"/>
      <c r="N379" s="437"/>
      <c r="O379" s="437"/>
      <c r="P379" s="437"/>
      <c r="Q379" s="437"/>
      <c r="R379" s="437"/>
      <c r="S379" s="437"/>
    </row>
    <row r="380" spans="1:19" ht="12.75" customHeight="1" x14ac:dyDescent="0.25">
      <c r="A380" s="431">
        <v>5</v>
      </c>
      <c r="B380" s="431">
        <v>0</v>
      </c>
      <c r="C380" s="432" t="s">
        <v>2353</v>
      </c>
      <c r="D380" s="433" t="s">
        <v>680</v>
      </c>
      <c r="E380" s="434"/>
      <c r="F380" s="435"/>
      <c r="G380" s="436">
        <v>8600000</v>
      </c>
      <c r="H380" s="436">
        <f t="shared" si="6"/>
        <v>8600</v>
      </c>
      <c r="I380" s="437"/>
      <c r="J380" s="437"/>
      <c r="K380" s="437"/>
      <c r="L380" s="437"/>
      <c r="M380" s="437"/>
      <c r="N380" s="437"/>
      <c r="O380" s="437"/>
      <c r="P380" s="437"/>
      <c r="Q380" s="437"/>
      <c r="R380" s="437"/>
      <c r="S380" s="437"/>
    </row>
    <row r="381" spans="1:19" ht="12.75" customHeight="1" x14ac:dyDescent="0.25">
      <c r="A381" s="431">
        <v>5</v>
      </c>
      <c r="B381" s="431">
        <v>0</v>
      </c>
      <c r="C381" s="432" t="s">
        <v>2354</v>
      </c>
      <c r="D381" s="433" t="s">
        <v>681</v>
      </c>
      <c r="E381" s="434"/>
      <c r="F381" s="435"/>
      <c r="G381" s="436">
        <v>35000000</v>
      </c>
      <c r="H381" s="436">
        <f t="shared" si="6"/>
        <v>35000</v>
      </c>
      <c r="I381" s="437"/>
      <c r="J381" s="437"/>
      <c r="K381" s="437"/>
      <c r="L381" s="437"/>
      <c r="M381" s="437"/>
      <c r="N381" s="437"/>
      <c r="O381" s="437"/>
      <c r="P381" s="437"/>
      <c r="Q381" s="437"/>
      <c r="R381" s="437"/>
      <c r="S381" s="437"/>
    </row>
    <row r="382" spans="1:19" ht="12.75" customHeight="1" x14ac:dyDescent="0.25">
      <c r="A382" s="431">
        <v>4</v>
      </c>
      <c r="B382" s="431">
        <v>1</v>
      </c>
      <c r="C382" s="432" t="s">
        <v>2355</v>
      </c>
      <c r="D382" s="433" t="s">
        <v>682</v>
      </c>
      <c r="E382" s="434"/>
      <c r="F382" s="435"/>
      <c r="G382" s="436">
        <v>15050000</v>
      </c>
      <c r="H382" s="436">
        <f t="shared" si="6"/>
        <v>15050</v>
      </c>
      <c r="I382" s="437"/>
      <c r="J382" s="437"/>
      <c r="K382" s="437"/>
      <c r="L382" s="437"/>
      <c r="M382" s="437"/>
      <c r="N382" s="437"/>
      <c r="O382" s="437"/>
      <c r="P382" s="437"/>
      <c r="Q382" s="437"/>
      <c r="R382" s="437"/>
      <c r="S382" s="437"/>
    </row>
    <row r="383" spans="1:19" ht="12.75" customHeight="1" x14ac:dyDescent="0.25">
      <c r="A383" s="431">
        <v>5</v>
      </c>
      <c r="B383" s="431">
        <v>0</v>
      </c>
      <c r="C383" s="432" t="s">
        <v>2356</v>
      </c>
      <c r="D383" s="433" t="s">
        <v>683</v>
      </c>
      <c r="E383" s="434"/>
      <c r="F383" s="435"/>
      <c r="G383" s="436">
        <v>10250000</v>
      </c>
      <c r="H383" s="436">
        <f t="shared" si="6"/>
        <v>10250</v>
      </c>
      <c r="I383" s="437"/>
      <c r="J383" s="437"/>
      <c r="K383" s="437"/>
      <c r="L383" s="437"/>
      <c r="M383" s="437"/>
      <c r="N383" s="437"/>
      <c r="O383" s="437"/>
      <c r="P383" s="437"/>
      <c r="Q383" s="437"/>
      <c r="R383" s="437"/>
      <c r="S383" s="437"/>
    </row>
    <row r="384" spans="1:19" ht="12.75" customHeight="1" x14ac:dyDescent="0.25">
      <c r="A384" s="431">
        <v>5</v>
      </c>
      <c r="B384" s="431">
        <v>0</v>
      </c>
      <c r="C384" s="432" t="s">
        <v>2357</v>
      </c>
      <c r="D384" s="433" t="s">
        <v>684</v>
      </c>
      <c r="E384" s="434"/>
      <c r="F384" s="435"/>
      <c r="G384" s="436">
        <v>4800000</v>
      </c>
      <c r="H384" s="436">
        <f t="shared" si="6"/>
        <v>4800</v>
      </c>
      <c r="I384" s="437"/>
      <c r="J384" s="437"/>
      <c r="K384" s="437"/>
      <c r="L384" s="437"/>
      <c r="M384" s="437"/>
      <c r="N384" s="437"/>
      <c r="O384" s="437"/>
      <c r="P384" s="437"/>
      <c r="Q384" s="437"/>
      <c r="R384" s="437"/>
      <c r="S384" s="437"/>
    </row>
    <row r="385" spans="1:19" ht="12.75" customHeight="1" x14ac:dyDescent="0.25">
      <c r="A385" s="431">
        <v>4</v>
      </c>
      <c r="B385" s="431">
        <v>1</v>
      </c>
      <c r="C385" s="432" t="s">
        <v>2358</v>
      </c>
      <c r="D385" s="433" t="s">
        <v>711</v>
      </c>
      <c r="E385" s="434"/>
      <c r="F385" s="435"/>
      <c r="G385" s="436">
        <v>6766800433</v>
      </c>
      <c r="H385" s="436">
        <f t="shared" si="6"/>
        <v>6766800.4330000002</v>
      </c>
      <c r="I385" s="437"/>
      <c r="J385" s="437"/>
      <c r="K385" s="437"/>
      <c r="L385" s="437"/>
      <c r="M385" s="437"/>
      <c r="N385" s="437"/>
      <c r="O385" s="437"/>
      <c r="P385" s="437"/>
      <c r="Q385" s="437"/>
      <c r="R385" s="437"/>
      <c r="S385" s="437"/>
    </row>
    <row r="386" spans="1:19" ht="12.75" customHeight="1" x14ac:dyDescent="0.25">
      <c r="A386" s="431">
        <v>5</v>
      </c>
      <c r="B386" s="431">
        <v>0</v>
      </c>
      <c r="C386" s="432" t="s">
        <v>2359</v>
      </c>
      <c r="D386" s="433" t="s">
        <v>712</v>
      </c>
      <c r="E386" s="434"/>
      <c r="F386" s="435"/>
      <c r="G386" s="436">
        <v>5416800433</v>
      </c>
      <c r="H386" s="436">
        <f t="shared" si="6"/>
        <v>5416800.4330000002</v>
      </c>
      <c r="I386" s="437"/>
      <c r="J386" s="437"/>
      <c r="K386" s="437"/>
      <c r="L386" s="437"/>
      <c r="M386" s="437"/>
      <c r="N386" s="437"/>
      <c r="O386" s="437"/>
      <c r="P386" s="437"/>
      <c r="Q386" s="437"/>
      <c r="R386" s="437"/>
      <c r="S386" s="437"/>
    </row>
    <row r="387" spans="1:19" ht="12.75" customHeight="1" x14ac:dyDescent="0.25">
      <c r="A387" s="431">
        <v>5</v>
      </c>
      <c r="B387" s="431">
        <v>0</v>
      </c>
      <c r="C387" s="432" t="s">
        <v>2360</v>
      </c>
      <c r="D387" s="433" t="s">
        <v>713</v>
      </c>
      <c r="E387" s="434"/>
      <c r="F387" s="435"/>
      <c r="G387" s="436">
        <v>1350000000</v>
      </c>
      <c r="H387" s="436">
        <f t="shared" si="6"/>
        <v>1350000</v>
      </c>
      <c r="I387" s="437"/>
      <c r="J387" s="437"/>
      <c r="K387" s="437"/>
      <c r="L387" s="437"/>
      <c r="M387" s="437"/>
      <c r="N387" s="437"/>
      <c r="O387" s="437"/>
      <c r="P387" s="437"/>
      <c r="Q387" s="437"/>
      <c r="R387" s="437"/>
      <c r="S387" s="437"/>
    </row>
    <row r="388" spans="1:19" ht="12.75" customHeight="1" x14ac:dyDescent="0.25">
      <c r="A388" s="431">
        <v>3</v>
      </c>
      <c r="B388" s="431">
        <v>2</v>
      </c>
      <c r="C388" s="432" t="s">
        <v>720</v>
      </c>
      <c r="D388" s="433" t="s">
        <v>1957</v>
      </c>
      <c r="E388" s="434"/>
      <c r="F388" s="435"/>
      <c r="G388" s="436">
        <v>454304005.24150002</v>
      </c>
      <c r="H388" s="436">
        <f t="shared" si="6"/>
        <v>454304.00524150004</v>
      </c>
      <c r="I388" s="437"/>
      <c r="J388" s="437"/>
      <c r="K388" s="437"/>
      <c r="L388" s="437"/>
      <c r="M388" s="437"/>
      <c r="N388" s="437"/>
      <c r="O388" s="437"/>
      <c r="P388" s="437"/>
      <c r="Q388" s="437"/>
      <c r="R388" s="437"/>
      <c r="S388" s="437"/>
    </row>
    <row r="389" spans="1:19" ht="12.75" customHeight="1" x14ac:dyDescent="0.25">
      <c r="A389" s="431">
        <v>4</v>
      </c>
      <c r="B389" s="431">
        <v>1</v>
      </c>
      <c r="C389" s="432" t="s">
        <v>2361</v>
      </c>
      <c r="D389" s="433" t="s">
        <v>722</v>
      </c>
      <c r="E389" s="434"/>
      <c r="F389" s="435"/>
      <c r="G389" s="436">
        <v>4547000</v>
      </c>
      <c r="H389" s="436">
        <f t="shared" si="6"/>
        <v>4547</v>
      </c>
      <c r="I389" s="437"/>
      <c r="J389" s="437"/>
      <c r="K389" s="437"/>
      <c r="L389" s="437"/>
      <c r="M389" s="437"/>
      <c r="N389" s="437"/>
      <c r="O389" s="437"/>
      <c r="P389" s="437"/>
      <c r="Q389" s="437"/>
      <c r="R389" s="437"/>
      <c r="S389" s="437"/>
    </row>
    <row r="390" spans="1:19" ht="12.75" customHeight="1" x14ac:dyDescent="0.25">
      <c r="A390" s="431">
        <v>5</v>
      </c>
      <c r="B390" s="431">
        <v>0</v>
      </c>
      <c r="C390" s="432" t="s">
        <v>2362</v>
      </c>
      <c r="D390" s="433" t="s">
        <v>2363</v>
      </c>
      <c r="E390" s="434"/>
      <c r="F390" s="435"/>
      <c r="G390" s="436">
        <v>4307000</v>
      </c>
      <c r="H390" s="436">
        <f t="shared" si="6"/>
        <v>4307</v>
      </c>
      <c r="I390" s="437"/>
      <c r="J390" s="437"/>
      <c r="K390" s="437"/>
      <c r="L390" s="437"/>
      <c r="M390" s="437"/>
      <c r="N390" s="437"/>
      <c r="O390" s="437"/>
      <c r="P390" s="437"/>
      <c r="Q390" s="437"/>
      <c r="R390" s="437"/>
      <c r="S390" s="437"/>
    </row>
    <row r="391" spans="1:19" ht="12.75" customHeight="1" x14ac:dyDescent="0.25">
      <c r="A391" s="431">
        <v>5</v>
      </c>
      <c r="B391" s="431">
        <v>0</v>
      </c>
      <c r="C391" s="432" t="s">
        <v>2364</v>
      </c>
      <c r="D391" s="433" t="s">
        <v>184</v>
      </c>
      <c r="E391" s="434"/>
      <c r="F391" s="435"/>
      <c r="G391" s="436">
        <v>240000</v>
      </c>
      <c r="H391" s="436">
        <f t="shared" si="6"/>
        <v>240</v>
      </c>
      <c r="I391" s="437"/>
      <c r="J391" s="437"/>
      <c r="K391" s="437"/>
      <c r="L391" s="437"/>
      <c r="M391" s="437"/>
      <c r="N391" s="437"/>
      <c r="O391" s="437"/>
      <c r="P391" s="437"/>
      <c r="Q391" s="437"/>
      <c r="R391" s="437"/>
      <c r="S391" s="437"/>
    </row>
    <row r="392" spans="1:19" ht="12.75" customHeight="1" x14ac:dyDescent="0.25">
      <c r="A392" s="431">
        <v>4</v>
      </c>
      <c r="B392" s="431">
        <v>1</v>
      </c>
      <c r="C392" s="432" t="s">
        <v>2365</v>
      </c>
      <c r="D392" s="433" t="s">
        <v>724</v>
      </c>
      <c r="E392" s="434"/>
      <c r="F392" s="435"/>
      <c r="G392" s="436">
        <v>449757005.24150002</v>
      </c>
      <c r="H392" s="436">
        <f t="shared" si="6"/>
        <v>449757.00524150004</v>
      </c>
      <c r="I392" s="437"/>
      <c r="J392" s="437"/>
      <c r="K392" s="437"/>
      <c r="L392" s="437"/>
      <c r="M392" s="437"/>
      <c r="N392" s="437"/>
      <c r="O392" s="437"/>
      <c r="P392" s="437"/>
      <c r="Q392" s="437"/>
      <c r="R392" s="437"/>
      <c r="S392" s="437"/>
    </row>
    <row r="393" spans="1:19" ht="12.75" customHeight="1" x14ac:dyDescent="0.25">
      <c r="A393" s="431">
        <v>5</v>
      </c>
      <c r="B393" s="431">
        <v>0</v>
      </c>
      <c r="C393" s="432" t="s">
        <v>2366</v>
      </c>
      <c r="D393" s="433" t="s">
        <v>725</v>
      </c>
      <c r="E393" s="434"/>
      <c r="F393" s="435"/>
      <c r="G393" s="436">
        <v>38920396.004050002</v>
      </c>
      <c r="H393" s="436">
        <f t="shared" si="6"/>
        <v>38920.396004050002</v>
      </c>
      <c r="I393" s="437"/>
      <c r="J393" s="437"/>
      <c r="K393" s="437"/>
      <c r="L393" s="437"/>
      <c r="M393" s="437"/>
      <c r="N393" s="437"/>
      <c r="O393" s="437"/>
      <c r="P393" s="437"/>
      <c r="Q393" s="437"/>
      <c r="R393" s="437"/>
      <c r="S393" s="437"/>
    </row>
    <row r="394" spans="1:19" ht="12.75" customHeight="1" x14ac:dyDescent="0.25">
      <c r="A394" s="431">
        <v>5</v>
      </c>
      <c r="B394" s="431">
        <v>0</v>
      </c>
      <c r="C394" s="432" t="s">
        <v>2367</v>
      </c>
      <c r="D394" s="433" t="s">
        <v>726</v>
      </c>
      <c r="E394" s="434"/>
      <c r="F394" s="435"/>
      <c r="G394" s="436">
        <v>1952586.7845000001</v>
      </c>
      <c r="H394" s="436">
        <f t="shared" si="6"/>
        <v>1952.5867845</v>
      </c>
      <c r="I394" s="437"/>
      <c r="J394" s="437"/>
      <c r="K394" s="437"/>
      <c r="L394" s="437"/>
      <c r="M394" s="437"/>
      <c r="N394" s="437"/>
      <c r="O394" s="437"/>
      <c r="P394" s="437"/>
      <c r="Q394" s="437"/>
      <c r="R394" s="437"/>
      <c r="S394" s="437"/>
    </row>
    <row r="395" spans="1:19" ht="12.75" customHeight="1" x14ac:dyDescent="0.25">
      <c r="A395" s="431">
        <v>5</v>
      </c>
      <c r="B395" s="431">
        <v>0</v>
      </c>
      <c r="C395" s="432" t="s">
        <v>2368</v>
      </c>
      <c r="D395" s="433" t="s">
        <v>727</v>
      </c>
      <c r="E395" s="434"/>
      <c r="F395" s="435"/>
      <c r="G395" s="436">
        <v>1507442.7318500001</v>
      </c>
      <c r="H395" s="436">
        <f t="shared" si="6"/>
        <v>1507.4427318500002</v>
      </c>
      <c r="I395" s="437"/>
      <c r="J395" s="437"/>
      <c r="K395" s="437"/>
      <c r="L395" s="437"/>
      <c r="M395" s="437"/>
      <c r="N395" s="437"/>
      <c r="O395" s="437"/>
      <c r="P395" s="437"/>
      <c r="Q395" s="437"/>
      <c r="R395" s="437"/>
      <c r="S395" s="437"/>
    </row>
    <row r="396" spans="1:19" ht="12.75" customHeight="1" x14ac:dyDescent="0.25">
      <c r="A396" s="431">
        <v>5</v>
      </c>
      <c r="B396" s="431">
        <v>0</v>
      </c>
      <c r="C396" s="432" t="s">
        <v>2369</v>
      </c>
      <c r="D396" s="433" t="s">
        <v>728</v>
      </c>
      <c r="E396" s="434"/>
      <c r="F396" s="435"/>
      <c r="G396" s="436">
        <v>331398848.32340002</v>
      </c>
      <c r="H396" s="436">
        <f t="shared" si="6"/>
        <v>331398.84832340002</v>
      </c>
      <c r="I396" s="437"/>
      <c r="J396" s="437"/>
      <c r="K396" s="437"/>
      <c r="L396" s="437"/>
      <c r="M396" s="437"/>
      <c r="N396" s="437"/>
      <c r="O396" s="437"/>
      <c r="P396" s="437"/>
      <c r="Q396" s="437"/>
      <c r="R396" s="437"/>
      <c r="S396" s="437"/>
    </row>
    <row r="397" spans="1:19" ht="12.75" customHeight="1" x14ac:dyDescent="0.25">
      <c r="A397" s="431">
        <v>5</v>
      </c>
      <c r="B397" s="431">
        <v>0</v>
      </c>
      <c r="C397" s="432" t="s">
        <v>2370</v>
      </c>
      <c r="D397" s="433" t="s">
        <v>729</v>
      </c>
      <c r="E397" s="434"/>
      <c r="F397" s="435"/>
      <c r="G397" s="436">
        <v>7710128.8896500003</v>
      </c>
      <c r="H397" s="436">
        <f t="shared" si="6"/>
        <v>7710.12888965</v>
      </c>
      <c r="I397" s="437"/>
      <c r="J397" s="437"/>
      <c r="K397" s="437"/>
      <c r="L397" s="437"/>
      <c r="M397" s="437"/>
      <c r="N397" s="437"/>
      <c r="O397" s="437"/>
      <c r="P397" s="437"/>
      <c r="Q397" s="437"/>
      <c r="R397" s="437"/>
      <c r="S397" s="437"/>
    </row>
    <row r="398" spans="1:19" ht="12.75" customHeight="1" x14ac:dyDescent="0.25">
      <c r="A398" s="431">
        <v>5</v>
      </c>
      <c r="B398" s="431">
        <v>0</v>
      </c>
      <c r="C398" s="432" t="s">
        <v>2371</v>
      </c>
      <c r="D398" s="433" t="s">
        <v>730</v>
      </c>
      <c r="E398" s="434"/>
      <c r="F398" s="435"/>
      <c r="G398" s="436">
        <v>50627060.116599999</v>
      </c>
      <c r="H398" s="436">
        <f t="shared" si="6"/>
        <v>50627.060116599998</v>
      </c>
      <c r="I398" s="437"/>
      <c r="J398" s="437"/>
      <c r="K398" s="437"/>
      <c r="L398" s="437"/>
      <c r="M398" s="437"/>
      <c r="N398" s="437"/>
      <c r="O398" s="437"/>
      <c r="P398" s="437"/>
      <c r="Q398" s="437"/>
      <c r="R398" s="437"/>
      <c r="S398" s="437"/>
    </row>
    <row r="399" spans="1:19" ht="12.75" customHeight="1" x14ac:dyDescent="0.25">
      <c r="A399" s="431">
        <v>5</v>
      </c>
      <c r="B399" s="431">
        <v>0</v>
      </c>
      <c r="C399" s="432" t="s">
        <v>2372</v>
      </c>
      <c r="D399" s="433" t="s">
        <v>731</v>
      </c>
      <c r="E399" s="434"/>
      <c r="F399" s="435"/>
      <c r="G399" s="436">
        <v>2441391.8776500002</v>
      </c>
      <c r="H399" s="436">
        <f t="shared" si="6"/>
        <v>2441.39187765</v>
      </c>
      <c r="I399" s="437"/>
      <c r="J399" s="437"/>
      <c r="K399" s="437"/>
      <c r="L399" s="437"/>
      <c r="M399" s="437"/>
      <c r="N399" s="437"/>
      <c r="O399" s="437"/>
      <c r="P399" s="437"/>
      <c r="Q399" s="437"/>
      <c r="R399" s="437"/>
      <c r="S399" s="437"/>
    </row>
    <row r="400" spans="1:19" ht="12.75" customHeight="1" x14ac:dyDescent="0.25">
      <c r="A400" s="431">
        <v>5</v>
      </c>
      <c r="B400" s="431">
        <v>0</v>
      </c>
      <c r="C400" s="432" t="s">
        <v>2373</v>
      </c>
      <c r="D400" s="433" t="s">
        <v>732</v>
      </c>
      <c r="E400" s="434"/>
      <c r="F400" s="435"/>
      <c r="G400" s="436">
        <v>386485.37070000003</v>
      </c>
      <c r="H400" s="436">
        <f t="shared" si="6"/>
        <v>386.48537070000003</v>
      </c>
      <c r="I400" s="437"/>
      <c r="J400" s="437"/>
      <c r="K400" s="437"/>
      <c r="L400" s="437"/>
      <c r="M400" s="437"/>
      <c r="N400" s="437"/>
      <c r="O400" s="437"/>
      <c r="P400" s="437"/>
      <c r="Q400" s="437"/>
      <c r="R400" s="437"/>
      <c r="S400" s="437"/>
    </row>
    <row r="401" spans="1:19" ht="12.75" customHeight="1" x14ac:dyDescent="0.25">
      <c r="A401" s="431">
        <v>5</v>
      </c>
      <c r="B401" s="431">
        <v>0</v>
      </c>
      <c r="C401" s="432" t="s">
        <v>2374</v>
      </c>
      <c r="D401" s="433" t="s">
        <v>733</v>
      </c>
      <c r="E401" s="434"/>
      <c r="F401" s="435"/>
      <c r="G401" s="436">
        <v>913640.4486</v>
      </c>
      <c r="H401" s="436">
        <f t="shared" si="6"/>
        <v>913.64044860000001</v>
      </c>
      <c r="I401" s="437"/>
      <c r="J401" s="437"/>
      <c r="K401" s="437"/>
      <c r="L401" s="437"/>
      <c r="M401" s="437"/>
      <c r="N401" s="437"/>
      <c r="O401" s="437"/>
      <c r="P401" s="437"/>
      <c r="Q401" s="437"/>
      <c r="R401" s="437"/>
      <c r="S401" s="437"/>
    </row>
    <row r="402" spans="1:19" ht="12.75" customHeight="1" x14ac:dyDescent="0.25">
      <c r="A402" s="431">
        <v>5</v>
      </c>
      <c r="B402" s="431">
        <v>0</v>
      </c>
      <c r="C402" s="432" t="s">
        <v>2375</v>
      </c>
      <c r="D402" s="433" t="s">
        <v>734</v>
      </c>
      <c r="E402" s="434"/>
      <c r="F402" s="435"/>
      <c r="G402" s="436">
        <v>165440.32449999999</v>
      </c>
      <c r="H402" s="436">
        <f t="shared" si="6"/>
        <v>165.44032449999997</v>
      </c>
      <c r="I402" s="437"/>
      <c r="J402" s="437"/>
      <c r="K402" s="437"/>
      <c r="L402" s="437"/>
      <c r="M402" s="437"/>
      <c r="N402" s="437"/>
      <c r="O402" s="437"/>
      <c r="P402" s="437"/>
      <c r="Q402" s="437"/>
      <c r="R402" s="437"/>
      <c r="S402" s="437"/>
    </row>
    <row r="403" spans="1:19" ht="12.75" customHeight="1" x14ac:dyDescent="0.25">
      <c r="A403" s="431">
        <v>5</v>
      </c>
      <c r="B403" s="431">
        <v>0</v>
      </c>
      <c r="C403" s="432" t="s">
        <v>2376</v>
      </c>
      <c r="D403" s="433" t="s">
        <v>735</v>
      </c>
      <c r="E403" s="434"/>
      <c r="F403" s="435"/>
      <c r="G403" s="436">
        <v>13733584.369999999</v>
      </c>
      <c r="H403" s="436">
        <f t="shared" si="6"/>
        <v>13733.584369999999</v>
      </c>
      <c r="I403" s="437"/>
      <c r="J403" s="437"/>
      <c r="K403" s="437"/>
      <c r="L403" s="437"/>
      <c r="M403" s="437"/>
      <c r="N403" s="437"/>
      <c r="O403" s="437"/>
      <c r="P403" s="437"/>
      <c r="Q403" s="437"/>
      <c r="R403" s="437"/>
      <c r="S403" s="437"/>
    </row>
    <row r="404" spans="1:19" ht="12.75" customHeight="1" x14ac:dyDescent="0.25">
      <c r="A404" s="431">
        <v>3</v>
      </c>
      <c r="B404" s="431">
        <v>2</v>
      </c>
      <c r="C404" s="432" t="s">
        <v>741</v>
      </c>
      <c r="D404" s="433" t="s">
        <v>2452</v>
      </c>
      <c r="E404" s="434"/>
      <c r="F404" s="435"/>
      <c r="G404" s="436">
        <v>22604150</v>
      </c>
      <c r="H404" s="436">
        <f t="shared" si="6"/>
        <v>22604.15</v>
      </c>
      <c r="I404" s="437"/>
      <c r="J404" s="437"/>
      <c r="K404" s="437"/>
      <c r="L404" s="437"/>
      <c r="M404" s="437"/>
      <c r="N404" s="437"/>
      <c r="O404" s="437"/>
      <c r="P404" s="437"/>
      <c r="Q404" s="437"/>
      <c r="R404" s="437"/>
      <c r="S404" s="437"/>
    </row>
    <row r="405" spans="1:19" ht="12.75" customHeight="1" x14ac:dyDescent="0.25">
      <c r="A405" s="431">
        <v>4</v>
      </c>
      <c r="B405" s="431">
        <v>1</v>
      </c>
      <c r="C405" s="432" t="s">
        <v>2377</v>
      </c>
      <c r="D405" s="433" t="s">
        <v>743</v>
      </c>
      <c r="E405" s="434"/>
      <c r="F405" s="435"/>
      <c r="G405" s="436">
        <v>22604150</v>
      </c>
      <c r="H405" s="436">
        <f t="shared" si="6"/>
        <v>22604.15</v>
      </c>
      <c r="I405" s="437"/>
      <c r="J405" s="437"/>
      <c r="K405" s="437"/>
      <c r="L405" s="437"/>
      <c r="M405" s="437"/>
      <c r="N405" s="437"/>
      <c r="O405" s="437"/>
      <c r="P405" s="437"/>
      <c r="Q405" s="437"/>
      <c r="R405" s="437"/>
      <c r="S405" s="437"/>
    </row>
    <row r="406" spans="1:19" ht="12.75" customHeight="1" x14ac:dyDescent="0.25">
      <c r="A406" s="431">
        <v>5</v>
      </c>
      <c r="B406" s="431">
        <v>0</v>
      </c>
      <c r="C406" s="432" t="s">
        <v>2378</v>
      </c>
      <c r="D406" s="433" t="s">
        <v>744</v>
      </c>
      <c r="E406" s="434"/>
      <c r="F406" s="435"/>
      <c r="G406" s="436">
        <v>10296000</v>
      </c>
      <c r="H406" s="436">
        <f t="shared" si="6"/>
        <v>10296</v>
      </c>
      <c r="I406" s="437"/>
      <c r="J406" s="437"/>
      <c r="K406" s="437"/>
      <c r="L406" s="437"/>
      <c r="M406" s="437"/>
      <c r="N406" s="437"/>
      <c r="O406" s="437"/>
      <c r="P406" s="437"/>
      <c r="Q406" s="437"/>
      <c r="R406" s="437"/>
      <c r="S406" s="437"/>
    </row>
    <row r="407" spans="1:19" ht="12.75" customHeight="1" x14ac:dyDescent="0.25">
      <c r="A407" s="431">
        <v>5</v>
      </c>
      <c r="B407" s="431">
        <v>0</v>
      </c>
      <c r="C407" s="432" t="s">
        <v>2379</v>
      </c>
      <c r="D407" s="433" t="s">
        <v>745</v>
      </c>
      <c r="E407" s="434"/>
      <c r="F407" s="435"/>
      <c r="G407" s="436">
        <v>962000</v>
      </c>
      <c r="H407" s="436">
        <f t="shared" si="6"/>
        <v>962</v>
      </c>
      <c r="I407" s="437"/>
      <c r="J407" s="437"/>
      <c r="K407" s="437"/>
      <c r="L407" s="437"/>
      <c r="M407" s="437"/>
      <c r="N407" s="437"/>
      <c r="O407" s="437"/>
      <c r="P407" s="437"/>
      <c r="Q407" s="437"/>
      <c r="R407" s="437"/>
      <c r="S407" s="437"/>
    </row>
    <row r="408" spans="1:19" ht="12.75" customHeight="1" x14ac:dyDescent="0.25">
      <c r="A408" s="431">
        <v>5</v>
      </c>
      <c r="B408" s="431">
        <v>0</v>
      </c>
      <c r="C408" s="432" t="s">
        <v>2380</v>
      </c>
      <c r="D408" s="433" t="s">
        <v>746</v>
      </c>
      <c r="E408" s="434"/>
      <c r="F408" s="435"/>
      <c r="G408" s="436">
        <v>8933900</v>
      </c>
      <c r="H408" s="436">
        <f t="shared" si="6"/>
        <v>8933.9</v>
      </c>
      <c r="I408" s="437"/>
      <c r="J408" s="437"/>
      <c r="K408" s="437"/>
      <c r="L408" s="437"/>
      <c r="M408" s="437"/>
      <c r="N408" s="437"/>
      <c r="O408" s="437"/>
      <c r="P408" s="437"/>
      <c r="Q408" s="437"/>
      <c r="R408" s="437"/>
      <c r="S408" s="437"/>
    </row>
    <row r="409" spans="1:19" ht="12.75" customHeight="1" x14ac:dyDescent="0.25">
      <c r="A409" s="431">
        <v>5</v>
      </c>
      <c r="B409" s="431">
        <v>0</v>
      </c>
      <c r="C409" s="432" t="s">
        <v>2381</v>
      </c>
      <c r="D409" s="433" t="s">
        <v>747</v>
      </c>
      <c r="E409" s="434"/>
      <c r="F409" s="435"/>
      <c r="G409" s="436">
        <v>1590000</v>
      </c>
      <c r="H409" s="436">
        <f t="shared" si="6"/>
        <v>1590</v>
      </c>
      <c r="I409" s="437"/>
      <c r="J409" s="437"/>
      <c r="K409" s="437"/>
      <c r="L409" s="437"/>
      <c r="M409" s="437"/>
      <c r="N409" s="437"/>
      <c r="O409" s="437"/>
      <c r="P409" s="437"/>
      <c r="Q409" s="437"/>
      <c r="R409" s="437"/>
      <c r="S409" s="437"/>
    </row>
    <row r="410" spans="1:19" ht="12.75" customHeight="1" x14ac:dyDescent="0.25">
      <c r="A410" s="431">
        <v>5</v>
      </c>
      <c r="B410" s="431">
        <v>0</v>
      </c>
      <c r="C410" s="432" t="s">
        <v>2382</v>
      </c>
      <c r="D410" s="433" t="s">
        <v>748</v>
      </c>
      <c r="E410" s="434"/>
      <c r="F410" s="435"/>
      <c r="G410" s="436">
        <v>320000</v>
      </c>
      <c r="H410" s="436">
        <f t="shared" si="6"/>
        <v>320</v>
      </c>
      <c r="I410" s="437"/>
      <c r="J410" s="437"/>
      <c r="K410" s="437"/>
      <c r="L410" s="437"/>
      <c r="M410" s="437"/>
      <c r="N410" s="437"/>
      <c r="O410" s="437"/>
      <c r="P410" s="437"/>
      <c r="Q410" s="437"/>
      <c r="R410" s="437"/>
      <c r="S410" s="437"/>
    </row>
    <row r="411" spans="1:19" ht="12.75" customHeight="1" x14ac:dyDescent="0.25">
      <c r="A411" s="431">
        <v>5</v>
      </c>
      <c r="B411" s="431">
        <v>0</v>
      </c>
      <c r="C411" s="432" t="s">
        <v>2383</v>
      </c>
      <c r="D411" s="433" t="s">
        <v>749</v>
      </c>
      <c r="E411" s="434"/>
      <c r="F411" s="435"/>
      <c r="G411" s="436">
        <v>502250</v>
      </c>
      <c r="H411" s="436">
        <f t="shared" si="6"/>
        <v>502.25</v>
      </c>
      <c r="I411" s="437"/>
      <c r="J411" s="437"/>
      <c r="K411" s="437"/>
      <c r="L411" s="437"/>
      <c r="M411" s="437"/>
      <c r="N411" s="437"/>
      <c r="O411" s="437"/>
      <c r="P411" s="437"/>
      <c r="Q411" s="437"/>
      <c r="R411" s="437"/>
      <c r="S411" s="437"/>
    </row>
    <row r="412" spans="1:19" ht="12.75" customHeight="1" x14ac:dyDescent="0.25">
      <c r="A412" s="431">
        <v>3</v>
      </c>
      <c r="B412" s="431">
        <v>2</v>
      </c>
      <c r="C412" s="432" t="s">
        <v>750</v>
      </c>
      <c r="D412" s="433" t="s">
        <v>1975</v>
      </c>
      <c r="E412" s="434"/>
      <c r="F412" s="435"/>
      <c r="G412" s="436">
        <v>5900000</v>
      </c>
      <c r="H412" s="436">
        <f t="shared" si="6"/>
        <v>5900</v>
      </c>
      <c r="I412" s="437"/>
      <c r="J412" s="437"/>
      <c r="K412" s="437"/>
      <c r="L412" s="437"/>
      <c r="M412" s="437"/>
      <c r="N412" s="437"/>
      <c r="O412" s="437"/>
      <c r="P412" s="437"/>
      <c r="Q412" s="437"/>
      <c r="R412" s="437"/>
      <c r="S412" s="437"/>
    </row>
    <row r="413" spans="1:19" ht="12.75" customHeight="1" x14ac:dyDescent="0.25">
      <c r="A413" s="431">
        <v>4</v>
      </c>
      <c r="B413" s="431">
        <v>1</v>
      </c>
      <c r="C413" s="432" t="s">
        <v>2384</v>
      </c>
      <c r="D413" s="433" t="s">
        <v>752</v>
      </c>
      <c r="E413" s="434"/>
      <c r="F413" s="435"/>
      <c r="G413" s="436">
        <v>5900000</v>
      </c>
      <c r="H413" s="436">
        <f t="shared" si="6"/>
        <v>5900</v>
      </c>
      <c r="I413" s="437"/>
      <c r="J413" s="437"/>
      <c r="K413" s="437"/>
      <c r="L413" s="437"/>
      <c r="M413" s="437"/>
      <c r="N413" s="437"/>
      <c r="O413" s="437"/>
      <c r="P413" s="437"/>
      <c r="Q413" s="437"/>
      <c r="R413" s="437"/>
      <c r="S413" s="437"/>
    </row>
    <row r="414" spans="1:19" ht="12.75" customHeight="1" x14ac:dyDescent="0.25">
      <c r="A414" s="431">
        <v>5</v>
      </c>
      <c r="B414" s="431">
        <v>0</v>
      </c>
      <c r="C414" s="432" t="s">
        <v>2385</v>
      </c>
      <c r="D414" s="433" t="s">
        <v>753</v>
      </c>
      <c r="E414" s="434"/>
      <c r="F414" s="435"/>
      <c r="G414" s="436">
        <v>5900000</v>
      </c>
      <c r="H414" s="436">
        <f t="shared" si="6"/>
        <v>5900</v>
      </c>
      <c r="I414" s="437"/>
      <c r="J414" s="437"/>
      <c r="K414" s="437"/>
      <c r="L414" s="437"/>
      <c r="M414" s="437"/>
      <c r="N414" s="437"/>
      <c r="O414" s="437"/>
      <c r="P414" s="437"/>
      <c r="Q414" s="437"/>
      <c r="R414" s="437"/>
      <c r="S414" s="437"/>
    </row>
    <row r="415" spans="1:19" ht="12.75" customHeight="1" x14ac:dyDescent="0.25">
      <c r="A415" s="431">
        <v>2</v>
      </c>
      <c r="B415" s="431">
        <v>3</v>
      </c>
      <c r="C415" s="432" t="s">
        <v>765</v>
      </c>
      <c r="D415" s="433" t="s">
        <v>766</v>
      </c>
      <c r="E415" s="434"/>
      <c r="F415" s="435"/>
      <c r="G415" s="436">
        <v>348407520</v>
      </c>
      <c r="H415" s="436">
        <f t="shared" si="6"/>
        <v>348407.52</v>
      </c>
      <c r="I415" s="437"/>
      <c r="J415" s="437"/>
      <c r="K415" s="437"/>
      <c r="L415" s="437"/>
      <c r="M415" s="437"/>
      <c r="N415" s="437"/>
      <c r="O415" s="437"/>
      <c r="P415" s="437"/>
      <c r="Q415" s="437"/>
      <c r="R415" s="437"/>
      <c r="S415" s="437"/>
    </row>
    <row r="416" spans="1:19" ht="12.75" customHeight="1" x14ac:dyDescent="0.25">
      <c r="A416" s="431">
        <v>3</v>
      </c>
      <c r="B416" s="431">
        <v>2</v>
      </c>
      <c r="C416" s="432" t="s">
        <v>778</v>
      </c>
      <c r="D416" s="433" t="s">
        <v>1976</v>
      </c>
      <c r="E416" s="434"/>
      <c r="F416" s="435"/>
      <c r="G416" s="436">
        <v>59269000</v>
      </c>
      <c r="H416" s="436">
        <f t="shared" si="6"/>
        <v>59269</v>
      </c>
      <c r="I416" s="437"/>
      <c r="J416" s="437"/>
      <c r="K416" s="437"/>
      <c r="L416" s="437"/>
      <c r="M416" s="437"/>
      <c r="N416" s="437"/>
      <c r="O416" s="437"/>
      <c r="P416" s="437"/>
      <c r="Q416" s="437"/>
      <c r="R416" s="437"/>
      <c r="S416" s="437"/>
    </row>
    <row r="417" spans="1:19" ht="12.75" customHeight="1" x14ac:dyDescent="0.25">
      <c r="A417" s="431">
        <v>4</v>
      </c>
      <c r="B417" s="431">
        <v>1</v>
      </c>
      <c r="C417" s="432" t="s">
        <v>2386</v>
      </c>
      <c r="D417" s="433" t="s">
        <v>779</v>
      </c>
      <c r="E417" s="434"/>
      <c r="F417" s="435"/>
      <c r="G417" s="436">
        <v>59269000</v>
      </c>
      <c r="H417" s="436">
        <f t="shared" si="6"/>
        <v>59269</v>
      </c>
      <c r="I417" s="437"/>
      <c r="J417" s="437"/>
      <c r="K417" s="437"/>
      <c r="L417" s="437"/>
      <c r="M417" s="437"/>
      <c r="N417" s="437"/>
      <c r="O417" s="437"/>
      <c r="P417" s="437"/>
      <c r="Q417" s="437"/>
      <c r="R417" s="437"/>
      <c r="S417" s="437"/>
    </row>
    <row r="418" spans="1:19" ht="12.75" customHeight="1" x14ac:dyDescent="0.25">
      <c r="A418" s="431">
        <v>5</v>
      </c>
      <c r="B418" s="431">
        <v>0</v>
      </c>
      <c r="C418" s="432" t="s">
        <v>2387</v>
      </c>
      <c r="D418" s="433" t="s">
        <v>780</v>
      </c>
      <c r="E418" s="434"/>
      <c r="F418" s="435"/>
      <c r="G418" s="436">
        <v>14997000</v>
      </c>
      <c r="H418" s="436">
        <f t="shared" si="6"/>
        <v>14997</v>
      </c>
      <c r="I418" s="437"/>
      <c r="J418" s="437"/>
      <c r="K418" s="437"/>
      <c r="L418" s="437"/>
      <c r="M418" s="437"/>
      <c r="N418" s="437"/>
      <c r="O418" s="437"/>
      <c r="P418" s="437"/>
      <c r="Q418" s="437"/>
      <c r="R418" s="437"/>
      <c r="S418" s="437"/>
    </row>
    <row r="419" spans="1:19" ht="12.75" customHeight="1" x14ac:dyDescent="0.25">
      <c r="A419" s="431">
        <v>5</v>
      </c>
      <c r="B419" s="431">
        <v>0</v>
      </c>
      <c r="C419" s="432" t="s">
        <v>2388</v>
      </c>
      <c r="D419" s="433" t="s">
        <v>781</v>
      </c>
      <c r="E419" s="434"/>
      <c r="F419" s="435"/>
      <c r="G419" s="436">
        <v>43878000</v>
      </c>
      <c r="H419" s="436">
        <f t="shared" si="6"/>
        <v>43878</v>
      </c>
      <c r="I419" s="437"/>
      <c r="J419" s="437"/>
      <c r="K419" s="437"/>
      <c r="L419" s="437"/>
      <c r="M419" s="437"/>
      <c r="N419" s="437"/>
      <c r="O419" s="437"/>
      <c r="P419" s="437"/>
      <c r="Q419" s="437"/>
      <c r="R419" s="437"/>
      <c r="S419" s="437"/>
    </row>
    <row r="420" spans="1:19" ht="12.75" customHeight="1" x14ac:dyDescent="0.25">
      <c r="A420" s="431">
        <v>5</v>
      </c>
      <c r="B420" s="431">
        <v>0</v>
      </c>
      <c r="C420" s="432" t="s">
        <v>2389</v>
      </c>
      <c r="D420" s="433" t="s">
        <v>782</v>
      </c>
      <c r="E420" s="434"/>
      <c r="F420" s="435"/>
      <c r="G420" s="436">
        <v>374000</v>
      </c>
      <c r="H420" s="436">
        <f t="shared" si="6"/>
        <v>374</v>
      </c>
      <c r="I420" s="437"/>
      <c r="J420" s="437"/>
      <c r="K420" s="437"/>
      <c r="L420" s="437"/>
      <c r="M420" s="437"/>
      <c r="N420" s="437"/>
      <c r="O420" s="437"/>
      <c r="P420" s="437"/>
      <c r="Q420" s="437"/>
      <c r="R420" s="437"/>
      <c r="S420" s="437"/>
    </row>
    <row r="421" spans="1:19" ht="12.75" customHeight="1" x14ac:dyDescent="0.25">
      <c r="A421" s="431">
        <v>5</v>
      </c>
      <c r="B421" s="431">
        <v>0</v>
      </c>
      <c r="C421" s="432" t="s">
        <v>2390</v>
      </c>
      <c r="D421" s="433" t="s">
        <v>783</v>
      </c>
      <c r="E421" s="434"/>
      <c r="F421" s="435"/>
      <c r="G421" s="436">
        <v>20000</v>
      </c>
      <c r="H421" s="436">
        <f t="shared" si="6"/>
        <v>20</v>
      </c>
      <c r="I421" s="437"/>
      <c r="J421" s="437"/>
      <c r="K421" s="437"/>
      <c r="L421" s="437"/>
      <c r="M421" s="437"/>
      <c r="N421" s="437"/>
      <c r="O421" s="437"/>
      <c r="P421" s="437"/>
      <c r="Q421" s="437"/>
      <c r="R421" s="437"/>
      <c r="S421" s="437"/>
    </row>
    <row r="422" spans="1:19" ht="12.75" customHeight="1" x14ac:dyDescent="0.25">
      <c r="A422" s="431">
        <v>3</v>
      </c>
      <c r="B422" s="431">
        <v>2</v>
      </c>
      <c r="C422" s="432" t="s">
        <v>789</v>
      </c>
      <c r="D422" s="433" t="s">
        <v>1977</v>
      </c>
      <c r="E422" s="434"/>
      <c r="F422" s="435"/>
      <c r="G422" s="436">
        <v>13281122</v>
      </c>
      <c r="H422" s="436">
        <f t="shared" si="6"/>
        <v>13281.121999999999</v>
      </c>
      <c r="I422" s="437"/>
      <c r="J422" s="437"/>
      <c r="K422" s="437"/>
      <c r="L422" s="437"/>
      <c r="M422" s="437"/>
      <c r="N422" s="437"/>
      <c r="O422" s="437"/>
      <c r="P422" s="437"/>
      <c r="Q422" s="437"/>
      <c r="R422" s="437"/>
      <c r="S422" s="437"/>
    </row>
    <row r="423" spans="1:19" ht="12.75" customHeight="1" x14ac:dyDescent="0.25">
      <c r="A423" s="431">
        <v>4</v>
      </c>
      <c r="B423" s="431">
        <v>1</v>
      </c>
      <c r="C423" s="432" t="s">
        <v>2391</v>
      </c>
      <c r="D423" s="433" t="s">
        <v>793</v>
      </c>
      <c r="E423" s="434"/>
      <c r="F423" s="435"/>
      <c r="G423" s="436">
        <v>2500000</v>
      </c>
      <c r="H423" s="436">
        <f t="shared" si="6"/>
        <v>2500</v>
      </c>
      <c r="I423" s="437"/>
      <c r="J423" s="437"/>
      <c r="K423" s="437"/>
      <c r="L423" s="437"/>
      <c r="M423" s="437"/>
      <c r="N423" s="437"/>
      <c r="O423" s="437"/>
      <c r="P423" s="437"/>
      <c r="Q423" s="437"/>
      <c r="R423" s="437"/>
      <c r="S423" s="437"/>
    </row>
    <row r="424" spans="1:19" ht="12.75" customHeight="1" x14ac:dyDescent="0.25">
      <c r="A424" s="431">
        <v>5</v>
      </c>
      <c r="B424" s="431">
        <v>0</v>
      </c>
      <c r="C424" s="432" t="s">
        <v>2392</v>
      </c>
      <c r="D424" s="433" t="s">
        <v>794</v>
      </c>
      <c r="E424" s="434"/>
      <c r="F424" s="435"/>
      <c r="G424" s="436">
        <v>2500000</v>
      </c>
      <c r="H424" s="436">
        <f t="shared" si="6"/>
        <v>2500</v>
      </c>
      <c r="I424" s="437"/>
      <c r="J424" s="437"/>
      <c r="K424" s="437"/>
      <c r="L424" s="437"/>
      <c r="M424" s="437"/>
      <c r="N424" s="437"/>
      <c r="O424" s="437"/>
      <c r="P424" s="437"/>
      <c r="Q424" s="437"/>
      <c r="R424" s="437"/>
      <c r="S424" s="437"/>
    </row>
    <row r="425" spans="1:19" ht="12.75" customHeight="1" x14ac:dyDescent="0.25">
      <c r="A425" s="431">
        <v>4</v>
      </c>
      <c r="B425" s="431">
        <v>1</v>
      </c>
      <c r="C425" s="432" t="s">
        <v>2393</v>
      </c>
      <c r="D425" s="433" t="s">
        <v>795</v>
      </c>
      <c r="E425" s="434"/>
      <c r="F425" s="435"/>
      <c r="G425" s="436">
        <v>10781122</v>
      </c>
      <c r="H425" s="436">
        <f t="shared" si="6"/>
        <v>10781.121999999999</v>
      </c>
      <c r="I425" s="437"/>
      <c r="J425" s="437"/>
      <c r="K425" s="437"/>
      <c r="L425" s="437"/>
      <c r="M425" s="437"/>
      <c r="N425" s="437"/>
      <c r="O425" s="437"/>
      <c r="P425" s="437"/>
      <c r="Q425" s="437"/>
      <c r="R425" s="437"/>
      <c r="S425" s="437"/>
    </row>
    <row r="426" spans="1:19" ht="12.75" customHeight="1" x14ac:dyDescent="0.25">
      <c r="A426" s="431">
        <v>5</v>
      </c>
      <c r="B426" s="431">
        <v>0</v>
      </c>
      <c r="C426" s="432" t="s">
        <v>2394</v>
      </c>
      <c r="D426" s="433" t="s">
        <v>796</v>
      </c>
      <c r="E426" s="434"/>
      <c r="F426" s="435"/>
      <c r="G426" s="436">
        <v>4505330</v>
      </c>
      <c r="H426" s="436">
        <f t="shared" si="6"/>
        <v>4505.33</v>
      </c>
      <c r="I426" s="437"/>
      <c r="J426" s="437"/>
      <c r="K426" s="437"/>
      <c r="L426" s="437"/>
      <c r="M426" s="437"/>
      <c r="N426" s="437"/>
      <c r="O426" s="437"/>
      <c r="P426" s="437"/>
      <c r="Q426" s="437"/>
      <c r="R426" s="437"/>
      <c r="S426" s="437"/>
    </row>
    <row r="427" spans="1:19" ht="12.75" customHeight="1" x14ac:dyDescent="0.25">
      <c r="A427" s="431">
        <v>5</v>
      </c>
      <c r="B427" s="431">
        <v>0</v>
      </c>
      <c r="C427" s="432" t="s">
        <v>2395</v>
      </c>
      <c r="D427" s="433" t="s">
        <v>797</v>
      </c>
      <c r="E427" s="434"/>
      <c r="F427" s="435"/>
      <c r="G427" s="436">
        <v>6275792</v>
      </c>
      <c r="H427" s="436">
        <f t="shared" si="6"/>
        <v>6275.7920000000004</v>
      </c>
      <c r="I427" s="437"/>
      <c r="J427" s="437"/>
      <c r="K427" s="437"/>
      <c r="L427" s="437"/>
      <c r="M427" s="437"/>
      <c r="N427" s="437"/>
      <c r="O427" s="437"/>
      <c r="P427" s="437"/>
      <c r="Q427" s="437"/>
      <c r="R427" s="437"/>
      <c r="S427" s="437"/>
    </row>
    <row r="428" spans="1:19" ht="12.75" customHeight="1" x14ac:dyDescent="0.25">
      <c r="A428" s="431">
        <v>3</v>
      </c>
      <c r="B428" s="431">
        <v>2</v>
      </c>
      <c r="C428" s="432" t="s">
        <v>799</v>
      </c>
      <c r="D428" s="433" t="s">
        <v>1978</v>
      </c>
      <c r="E428" s="434"/>
      <c r="F428" s="435"/>
      <c r="G428" s="436">
        <v>275857398</v>
      </c>
      <c r="H428" s="436">
        <f t="shared" si="6"/>
        <v>275857.39799999999</v>
      </c>
      <c r="I428" s="437"/>
      <c r="J428" s="437"/>
      <c r="K428" s="437"/>
      <c r="L428" s="437"/>
      <c r="M428" s="437"/>
      <c r="N428" s="437"/>
      <c r="O428" s="437"/>
      <c r="P428" s="437"/>
      <c r="Q428" s="437"/>
      <c r="R428" s="437"/>
      <c r="S428" s="437"/>
    </row>
    <row r="429" spans="1:19" ht="12.75" customHeight="1" x14ac:dyDescent="0.25">
      <c r="A429" s="431">
        <v>4</v>
      </c>
      <c r="B429" s="431">
        <v>1</v>
      </c>
      <c r="C429" s="432" t="s">
        <v>2396</v>
      </c>
      <c r="D429" s="433" t="s">
        <v>803</v>
      </c>
      <c r="E429" s="434"/>
      <c r="F429" s="435"/>
      <c r="G429" s="436">
        <v>17109449</v>
      </c>
      <c r="H429" s="436">
        <f t="shared" si="6"/>
        <v>17109.449000000001</v>
      </c>
      <c r="I429" s="437"/>
      <c r="J429" s="437"/>
      <c r="K429" s="437"/>
      <c r="L429" s="437"/>
      <c r="M429" s="437"/>
      <c r="N429" s="437"/>
      <c r="O429" s="437"/>
      <c r="P429" s="437"/>
      <c r="Q429" s="437"/>
      <c r="R429" s="437"/>
      <c r="S429" s="437"/>
    </row>
    <row r="430" spans="1:19" ht="12.75" customHeight="1" x14ac:dyDescent="0.25">
      <c r="A430" s="431">
        <v>5</v>
      </c>
      <c r="B430" s="431">
        <v>0</v>
      </c>
      <c r="C430" s="432" t="s">
        <v>2397</v>
      </c>
      <c r="D430" s="433" t="s">
        <v>805</v>
      </c>
      <c r="E430" s="434"/>
      <c r="F430" s="435"/>
      <c r="G430" s="436">
        <v>5000000</v>
      </c>
      <c r="H430" s="436">
        <f t="shared" si="6"/>
        <v>5000</v>
      </c>
      <c r="I430" s="437"/>
      <c r="J430" s="437"/>
      <c r="K430" s="437"/>
      <c r="L430" s="437"/>
      <c r="M430" s="437"/>
      <c r="N430" s="437"/>
      <c r="O430" s="437"/>
      <c r="P430" s="437"/>
      <c r="Q430" s="437"/>
      <c r="R430" s="437"/>
      <c r="S430" s="437"/>
    </row>
    <row r="431" spans="1:19" ht="12.75" customHeight="1" x14ac:dyDescent="0.25">
      <c r="A431" s="431">
        <v>5</v>
      </c>
      <c r="B431" s="431">
        <v>0</v>
      </c>
      <c r="C431" s="432" t="s">
        <v>2398</v>
      </c>
      <c r="D431" s="433" t="s">
        <v>806</v>
      </c>
      <c r="E431" s="434"/>
      <c r="F431" s="435"/>
      <c r="G431" s="436">
        <v>11192000</v>
      </c>
      <c r="H431" s="436">
        <f t="shared" si="6"/>
        <v>11192</v>
      </c>
      <c r="I431" s="437"/>
      <c r="J431" s="437"/>
      <c r="K431" s="437"/>
      <c r="L431" s="437"/>
      <c r="M431" s="437"/>
      <c r="N431" s="437"/>
      <c r="O431" s="437"/>
      <c r="P431" s="437"/>
      <c r="Q431" s="437"/>
      <c r="R431" s="437"/>
      <c r="S431" s="437"/>
    </row>
    <row r="432" spans="1:19" ht="12.75" customHeight="1" x14ac:dyDescent="0.25">
      <c r="A432" s="431">
        <v>5</v>
      </c>
      <c r="B432" s="431">
        <v>0</v>
      </c>
      <c r="C432" s="432" t="s">
        <v>2399</v>
      </c>
      <c r="D432" s="433" t="s">
        <v>809</v>
      </c>
      <c r="E432" s="434"/>
      <c r="F432" s="435"/>
      <c r="G432" s="436">
        <v>917449</v>
      </c>
      <c r="H432" s="436">
        <f t="shared" si="6"/>
        <v>917.44899999999996</v>
      </c>
      <c r="I432" s="437"/>
      <c r="J432" s="437"/>
      <c r="K432" s="437"/>
      <c r="L432" s="437"/>
      <c r="M432" s="437"/>
      <c r="N432" s="437"/>
      <c r="O432" s="437"/>
      <c r="P432" s="437"/>
      <c r="Q432" s="437"/>
      <c r="R432" s="437"/>
      <c r="S432" s="437"/>
    </row>
    <row r="433" spans="1:19" ht="12.75" customHeight="1" x14ac:dyDescent="0.25">
      <c r="A433" s="431">
        <v>4</v>
      </c>
      <c r="B433" s="431">
        <v>1</v>
      </c>
      <c r="C433" s="432" t="s">
        <v>2400</v>
      </c>
      <c r="D433" s="433" t="s">
        <v>812</v>
      </c>
      <c r="E433" s="434"/>
      <c r="F433" s="435"/>
      <c r="G433" s="436">
        <v>130500000</v>
      </c>
      <c r="H433" s="436">
        <f t="shared" si="6"/>
        <v>130500</v>
      </c>
      <c r="I433" s="437"/>
      <c r="J433" s="437"/>
      <c r="K433" s="437"/>
      <c r="L433" s="437"/>
      <c r="M433" s="437"/>
      <c r="N433" s="437"/>
      <c r="O433" s="437"/>
      <c r="P433" s="437"/>
      <c r="Q433" s="437"/>
      <c r="R433" s="437"/>
      <c r="S433" s="437"/>
    </row>
    <row r="434" spans="1:19" ht="12.75" customHeight="1" x14ac:dyDescent="0.25">
      <c r="A434" s="431">
        <v>5</v>
      </c>
      <c r="B434" s="431">
        <v>0</v>
      </c>
      <c r="C434" s="432" t="s">
        <v>2401</v>
      </c>
      <c r="D434" s="433" t="s">
        <v>813</v>
      </c>
      <c r="E434" s="434"/>
      <c r="F434" s="435"/>
      <c r="G434" s="436">
        <v>50000000</v>
      </c>
      <c r="H434" s="436">
        <f t="shared" si="6"/>
        <v>50000</v>
      </c>
      <c r="I434" s="437"/>
      <c r="J434" s="437"/>
      <c r="K434" s="437"/>
      <c r="L434" s="437"/>
      <c r="M434" s="437"/>
      <c r="N434" s="437"/>
      <c r="O434" s="437"/>
      <c r="P434" s="437"/>
      <c r="Q434" s="437"/>
      <c r="R434" s="437"/>
      <c r="S434" s="437"/>
    </row>
    <row r="435" spans="1:19" ht="12.75" customHeight="1" x14ac:dyDescent="0.25">
      <c r="A435" s="431">
        <v>5</v>
      </c>
      <c r="B435" s="431">
        <v>0</v>
      </c>
      <c r="C435" s="432" t="s">
        <v>2402</v>
      </c>
      <c r="D435" s="433" t="s">
        <v>814</v>
      </c>
      <c r="E435" s="434"/>
      <c r="F435" s="435"/>
      <c r="G435" s="436">
        <v>60000000</v>
      </c>
      <c r="H435" s="436">
        <f t="shared" si="6"/>
        <v>60000</v>
      </c>
      <c r="I435" s="437"/>
      <c r="J435" s="437"/>
      <c r="K435" s="437"/>
      <c r="L435" s="437"/>
      <c r="M435" s="437"/>
      <c r="N435" s="437"/>
      <c r="O435" s="437"/>
      <c r="P435" s="437"/>
      <c r="Q435" s="437"/>
      <c r="R435" s="437"/>
      <c r="S435" s="437"/>
    </row>
    <row r="436" spans="1:19" ht="12.75" customHeight="1" x14ac:dyDescent="0.25">
      <c r="A436" s="431">
        <v>5</v>
      </c>
      <c r="B436" s="431">
        <v>0</v>
      </c>
      <c r="C436" s="432" t="s">
        <v>2403</v>
      </c>
      <c r="D436" s="433" t="s">
        <v>815</v>
      </c>
      <c r="E436" s="434"/>
      <c r="F436" s="435"/>
      <c r="G436" s="436">
        <v>20000000</v>
      </c>
      <c r="H436" s="436">
        <f t="shared" si="6"/>
        <v>20000</v>
      </c>
      <c r="I436" s="437"/>
      <c r="J436" s="437"/>
      <c r="K436" s="437"/>
      <c r="L436" s="437"/>
      <c r="M436" s="437"/>
      <c r="N436" s="437"/>
      <c r="O436" s="437"/>
      <c r="P436" s="437"/>
      <c r="Q436" s="437"/>
      <c r="R436" s="437"/>
      <c r="S436" s="437"/>
    </row>
    <row r="437" spans="1:19" ht="12.75" customHeight="1" x14ac:dyDescent="0.25">
      <c r="A437" s="431">
        <v>5</v>
      </c>
      <c r="B437" s="431">
        <v>0</v>
      </c>
      <c r="C437" s="432" t="s">
        <v>2404</v>
      </c>
      <c r="D437" s="433" t="s">
        <v>816</v>
      </c>
      <c r="E437" s="434"/>
      <c r="F437" s="435"/>
      <c r="G437" s="436">
        <v>500000</v>
      </c>
      <c r="H437" s="436">
        <f t="shared" ref="H437:H487" si="7">+G437/1000</f>
        <v>500</v>
      </c>
      <c r="I437" s="437"/>
      <c r="J437" s="437"/>
      <c r="K437" s="437"/>
      <c r="L437" s="437"/>
      <c r="M437" s="437"/>
      <c r="N437" s="437"/>
      <c r="O437" s="437"/>
      <c r="P437" s="437"/>
      <c r="Q437" s="437"/>
      <c r="R437" s="437"/>
      <c r="S437" s="437"/>
    </row>
    <row r="438" spans="1:19" ht="12.75" customHeight="1" x14ac:dyDescent="0.25">
      <c r="A438" s="431">
        <v>4</v>
      </c>
      <c r="B438" s="431">
        <v>1</v>
      </c>
      <c r="C438" s="432" t="s">
        <v>2405</v>
      </c>
      <c r="D438" s="433" t="s">
        <v>817</v>
      </c>
      <c r="E438" s="434"/>
      <c r="F438" s="435"/>
      <c r="G438" s="436">
        <v>120892949</v>
      </c>
      <c r="H438" s="436">
        <f t="shared" si="7"/>
        <v>120892.94899999999</v>
      </c>
      <c r="I438" s="437"/>
      <c r="J438" s="437"/>
      <c r="K438" s="437"/>
      <c r="L438" s="437"/>
      <c r="M438" s="437"/>
      <c r="N438" s="437"/>
      <c r="O438" s="437"/>
      <c r="P438" s="437"/>
      <c r="Q438" s="437"/>
      <c r="R438" s="437"/>
      <c r="S438" s="437"/>
    </row>
    <row r="439" spans="1:19" ht="12.75" customHeight="1" x14ac:dyDescent="0.25">
      <c r="A439" s="431">
        <v>5</v>
      </c>
      <c r="B439" s="431">
        <v>0</v>
      </c>
      <c r="C439" s="432" t="s">
        <v>2406</v>
      </c>
      <c r="D439" s="433" t="s">
        <v>818</v>
      </c>
      <c r="E439" s="434"/>
      <c r="F439" s="435"/>
      <c r="G439" s="436">
        <v>230000</v>
      </c>
      <c r="H439" s="436">
        <f t="shared" si="7"/>
        <v>230</v>
      </c>
      <c r="I439" s="437"/>
      <c r="J439" s="437"/>
      <c r="K439" s="437"/>
      <c r="L439" s="437"/>
      <c r="M439" s="437"/>
      <c r="N439" s="437"/>
      <c r="O439" s="437"/>
      <c r="P439" s="437"/>
      <c r="Q439" s="437"/>
      <c r="R439" s="437"/>
      <c r="S439" s="437"/>
    </row>
    <row r="440" spans="1:19" ht="12.75" customHeight="1" x14ac:dyDescent="0.25">
      <c r="A440" s="431">
        <v>5</v>
      </c>
      <c r="B440" s="431">
        <v>0</v>
      </c>
      <c r="C440" s="432" t="s">
        <v>2407</v>
      </c>
      <c r="D440" s="433" t="s">
        <v>820</v>
      </c>
      <c r="E440" s="434"/>
      <c r="F440" s="435"/>
      <c r="G440" s="436">
        <v>6300000</v>
      </c>
      <c r="H440" s="436">
        <f t="shared" si="7"/>
        <v>6300</v>
      </c>
      <c r="I440" s="437"/>
      <c r="J440" s="437"/>
      <c r="K440" s="437"/>
      <c r="L440" s="437"/>
      <c r="M440" s="437"/>
      <c r="N440" s="437"/>
      <c r="O440" s="437"/>
      <c r="P440" s="437"/>
      <c r="Q440" s="437"/>
      <c r="R440" s="437"/>
      <c r="S440" s="437"/>
    </row>
    <row r="441" spans="1:19" ht="12.75" customHeight="1" x14ac:dyDescent="0.25">
      <c r="A441" s="431">
        <v>5</v>
      </c>
      <c r="B441" s="431">
        <v>0</v>
      </c>
      <c r="C441" s="432" t="s">
        <v>2408</v>
      </c>
      <c r="D441" s="433" t="s">
        <v>821</v>
      </c>
      <c r="E441" s="434"/>
      <c r="F441" s="435"/>
      <c r="G441" s="436">
        <v>11850495</v>
      </c>
      <c r="H441" s="436">
        <f t="shared" si="7"/>
        <v>11850.495000000001</v>
      </c>
      <c r="I441" s="437"/>
      <c r="J441" s="437"/>
      <c r="K441" s="437"/>
      <c r="L441" s="437"/>
      <c r="M441" s="437"/>
      <c r="N441" s="437"/>
      <c r="O441" s="437"/>
      <c r="P441" s="437"/>
      <c r="Q441" s="437"/>
      <c r="R441" s="437"/>
      <c r="S441" s="437"/>
    </row>
    <row r="442" spans="1:19" ht="12.75" customHeight="1" x14ac:dyDescent="0.25">
      <c r="A442" s="431">
        <v>5</v>
      </c>
      <c r="B442" s="431">
        <v>0</v>
      </c>
      <c r="C442" s="432" t="s">
        <v>2409</v>
      </c>
      <c r="D442" s="433" t="s">
        <v>822</v>
      </c>
      <c r="E442" s="434"/>
      <c r="F442" s="435"/>
      <c r="G442" s="436">
        <v>1759764</v>
      </c>
      <c r="H442" s="436">
        <f t="shared" si="7"/>
        <v>1759.7639999999999</v>
      </c>
      <c r="I442" s="437"/>
      <c r="J442" s="437"/>
      <c r="K442" s="437"/>
      <c r="L442" s="437"/>
      <c r="M442" s="437"/>
      <c r="N442" s="437"/>
      <c r="O442" s="437"/>
      <c r="P442" s="437"/>
      <c r="Q442" s="437"/>
      <c r="R442" s="437"/>
      <c r="S442" s="437"/>
    </row>
    <row r="443" spans="1:19" ht="12.75" customHeight="1" x14ac:dyDescent="0.25">
      <c r="A443" s="431">
        <v>5</v>
      </c>
      <c r="B443" s="431">
        <v>0</v>
      </c>
      <c r="C443" s="432" t="s">
        <v>2410</v>
      </c>
      <c r="D443" s="433" t="s">
        <v>823</v>
      </c>
      <c r="E443" s="434"/>
      <c r="F443" s="435"/>
      <c r="G443" s="436">
        <v>170000</v>
      </c>
      <c r="H443" s="436">
        <f t="shared" si="7"/>
        <v>170</v>
      </c>
      <c r="I443" s="437"/>
      <c r="J443" s="437"/>
      <c r="K443" s="437"/>
      <c r="L443" s="437"/>
      <c r="M443" s="437"/>
      <c r="N443" s="437"/>
      <c r="O443" s="437"/>
      <c r="P443" s="437"/>
      <c r="Q443" s="437"/>
      <c r="R443" s="437"/>
      <c r="S443" s="437"/>
    </row>
    <row r="444" spans="1:19" ht="12.75" customHeight="1" x14ac:dyDescent="0.25">
      <c r="A444" s="431">
        <v>5</v>
      </c>
      <c r="B444" s="431">
        <v>0</v>
      </c>
      <c r="C444" s="432" t="s">
        <v>2411</v>
      </c>
      <c r="D444" s="433" t="s">
        <v>824</v>
      </c>
      <c r="E444" s="434"/>
      <c r="F444" s="435"/>
      <c r="G444" s="436">
        <v>2300000</v>
      </c>
      <c r="H444" s="436">
        <f t="shared" si="7"/>
        <v>2300</v>
      </c>
      <c r="I444" s="437"/>
      <c r="J444" s="437"/>
      <c r="K444" s="437"/>
      <c r="L444" s="437"/>
      <c r="M444" s="437"/>
      <c r="N444" s="437"/>
      <c r="O444" s="437"/>
      <c r="P444" s="437"/>
      <c r="Q444" s="437"/>
      <c r="R444" s="437"/>
      <c r="S444" s="437"/>
    </row>
    <row r="445" spans="1:19" ht="12.75" customHeight="1" x14ac:dyDescent="0.25">
      <c r="A445" s="431">
        <v>5</v>
      </c>
      <c r="B445" s="431">
        <v>0</v>
      </c>
      <c r="C445" s="432" t="s">
        <v>2412</v>
      </c>
      <c r="D445" s="433" t="s">
        <v>825</v>
      </c>
      <c r="E445" s="434"/>
      <c r="F445" s="435"/>
      <c r="G445" s="436">
        <v>44960000</v>
      </c>
      <c r="H445" s="436">
        <f t="shared" si="7"/>
        <v>44960</v>
      </c>
      <c r="I445" s="437"/>
      <c r="J445" s="437"/>
      <c r="K445" s="437"/>
      <c r="L445" s="437"/>
      <c r="M445" s="437"/>
      <c r="N445" s="437"/>
      <c r="O445" s="437"/>
      <c r="P445" s="437"/>
      <c r="Q445" s="437"/>
      <c r="R445" s="437"/>
      <c r="S445" s="437"/>
    </row>
    <row r="446" spans="1:19" ht="12.75" customHeight="1" x14ac:dyDescent="0.25">
      <c r="A446" s="431">
        <v>5</v>
      </c>
      <c r="B446" s="431">
        <v>0</v>
      </c>
      <c r="C446" s="432" t="s">
        <v>2413</v>
      </c>
      <c r="D446" s="433" t="s">
        <v>826</v>
      </c>
      <c r="E446" s="434"/>
      <c r="F446" s="435"/>
      <c r="G446" s="436">
        <v>10900000</v>
      </c>
      <c r="H446" s="436">
        <f t="shared" si="7"/>
        <v>10900</v>
      </c>
      <c r="I446" s="437"/>
      <c r="J446" s="437"/>
      <c r="K446" s="437"/>
      <c r="L446" s="437"/>
      <c r="M446" s="437"/>
      <c r="N446" s="437"/>
      <c r="O446" s="437"/>
      <c r="P446" s="437"/>
      <c r="Q446" s="437"/>
      <c r="R446" s="437"/>
      <c r="S446" s="437"/>
    </row>
    <row r="447" spans="1:19" ht="12.75" customHeight="1" x14ac:dyDescent="0.25">
      <c r="A447" s="431">
        <v>5</v>
      </c>
      <c r="B447" s="431">
        <v>0</v>
      </c>
      <c r="C447" s="432" t="s">
        <v>2414</v>
      </c>
      <c r="D447" s="433" t="s">
        <v>827</v>
      </c>
      <c r="E447" s="434"/>
      <c r="F447" s="435"/>
      <c r="G447" s="436">
        <v>8000000</v>
      </c>
      <c r="H447" s="436">
        <f t="shared" si="7"/>
        <v>8000</v>
      </c>
      <c r="I447" s="437"/>
      <c r="J447" s="437"/>
      <c r="K447" s="437"/>
      <c r="L447" s="437"/>
      <c r="M447" s="437"/>
      <c r="N447" s="437"/>
      <c r="O447" s="437"/>
      <c r="P447" s="437"/>
      <c r="Q447" s="437"/>
      <c r="R447" s="437"/>
      <c r="S447" s="437"/>
    </row>
    <row r="448" spans="1:19" ht="12.75" customHeight="1" x14ac:dyDescent="0.25">
      <c r="A448" s="431">
        <v>5</v>
      </c>
      <c r="B448" s="431">
        <v>0</v>
      </c>
      <c r="C448" s="432" t="s">
        <v>2415</v>
      </c>
      <c r="D448" s="433" t="s">
        <v>828</v>
      </c>
      <c r="E448" s="434"/>
      <c r="F448" s="435"/>
      <c r="G448" s="436">
        <v>20000</v>
      </c>
      <c r="H448" s="436">
        <f t="shared" si="7"/>
        <v>20</v>
      </c>
      <c r="I448" s="437"/>
      <c r="J448" s="437"/>
      <c r="K448" s="437"/>
      <c r="L448" s="437"/>
      <c r="M448" s="437"/>
      <c r="N448" s="437"/>
      <c r="O448" s="437"/>
      <c r="P448" s="437"/>
      <c r="Q448" s="437"/>
      <c r="R448" s="437"/>
      <c r="S448" s="437"/>
    </row>
    <row r="449" spans="1:19" ht="12.75" customHeight="1" x14ac:dyDescent="0.25">
      <c r="A449" s="431">
        <v>5</v>
      </c>
      <c r="B449" s="431">
        <v>0</v>
      </c>
      <c r="C449" s="432" t="s">
        <v>2416</v>
      </c>
      <c r="D449" s="433" t="s">
        <v>829</v>
      </c>
      <c r="E449" s="434"/>
      <c r="F449" s="435"/>
      <c r="G449" s="436">
        <v>1400000</v>
      </c>
      <c r="H449" s="436">
        <f t="shared" si="7"/>
        <v>1400</v>
      </c>
      <c r="I449" s="437"/>
      <c r="J449" s="437"/>
      <c r="K449" s="437"/>
      <c r="L449" s="437"/>
      <c r="M449" s="437"/>
      <c r="N449" s="437"/>
      <c r="O449" s="437"/>
      <c r="P449" s="437"/>
      <c r="Q449" s="437"/>
      <c r="R449" s="437"/>
      <c r="S449" s="437"/>
    </row>
    <row r="450" spans="1:19" ht="12.75" customHeight="1" x14ac:dyDescent="0.25">
      <c r="A450" s="431">
        <v>5</v>
      </c>
      <c r="B450" s="431">
        <v>0</v>
      </c>
      <c r="C450" s="432" t="s">
        <v>2417</v>
      </c>
      <c r="D450" s="433" t="s">
        <v>830</v>
      </c>
      <c r="E450" s="434"/>
      <c r="F450" s="435"/>
      <c r="G450" s="436">
        <v>8020000</v>
      </c>
      <c r="H450" s="436">
        <f t="shared" si="7"/>
        <v>8020</v>
      </c>
      <c r="I450" s="437"/>
      <c r="J450" s="437"/>
      <c r="K450" s="437"/>
      <c r="L450" s="437"/>
      <c r="M450" s="437"/>
      <c r="N450" s="437"/>
      <c r="O450" s="437"/>
      <c r="P450" s="437"/>
      <c r="Q450" s="437"/>
      <c r="R450" s="437"/>
      <c r="S450" s="437"/>
    </row>
    <row r="451" spans="1:19" ht="12.75" customHeight="1" x14ac:dyDescent="0.25">
      <c r="A451" s="431">
        <v>5</v>
      </c>
      <c r="B451" s="431">
        <v>0</v>
      </c>
      <c r="C451" s="432" t="s">
        <v>2418</v>
      </c>
      <c r="D451" s="433" t="s">
        <v>831</v>
      </c>
      <c r="E451" s="434"/>
      <c r="F451" s="435"/>
      <c r="G451" s="436">
        <v>1100000</v>
      </c>
      <c r="H451" s="436">
        <f t="shared" si="7"/>
        <v>1100</v>
      </c>
      <c r="I451" s="437"/>
      <c r="J451" s="437"/>
      <c r="K451" s="437"/>
      <c r="L451" s="437"/>
      <c r="M451" s="437"/>
      <c r="N451" s="437"/>
      <c r="O451" s="437"/>
      <c r="P451" s="437"/>
      <c r="Q451" s="437"/>
      <c r="R451" s="437"/>
      <c r="S451" s="437"/>
    </row>
    <row r="452" spans="1:19" ht="12.75" customHeight="1" x14ac:dyDescent="0.25">
      <c r="A452" s="431">
        <v>5</v>
      </c>
      <c r="B452" s="431">
        <v>0</v>
      </c>
      <c r="C452" s="432" t="s">
        <v>2419</v>
      </c>
      <c r="D452" s="433" t="s">
        <v>832</v>
      </c>
      <c r="E452" s="434"/>
      <c r="F452" s="435"/>
      <c r="G452" s="436">
        <v>550000</v>
      </c>
      <c r="H452" s="436">
        <f t="shared" si="7"/>
        <v>550</v>
      </c>
      <c r="I452" s="437"/>
      <c r="J452" s="437"/>
      <c r="K452" s="437"/>
      <c r="L452" s="437"/>
      <c r="M452" s="437"/>
      <c r="N452" s="437"/>
      <c r="O452" s="437"/>
      <c r="P452" s="437"/>
      <c r="Q452" s="437"/>
      <c r="R452" s="437"/>
      <c r="S452" s="437"/>
    </row>
    <row r="453" spans="1:19" ht="12.75" customHeight="1" x14ac:dyDescent="0.25">
      <c r="A453" s="431">
        <v>5</v>
      </c>
      <c r="B453" s="431">
        <v>0</v>
      </c>
      <c r="C453" s="432" t="s">
        <v>2420</v>
      </c>
      <c r="D453" s="433" t="s">
        <v>833</v>
      </c>
      <c r="E453" s="434"/>
      <c r="F453" s="435"/>
      <c r="G453" s="436">
        <v>3000000</v>
      </c>
      <c r="H453" s="436">
        <f t="shared" si="7"/>
        <v>3000</v>
      </c>
      <c r="I453" s="437"/>
      <c r="J453" s="437"/>
      <c r="K453" s="437"/>
      <c r="L453" s="437"/>
      <c r="M453" s="437"/>
      <c r="N453" s="437"/>
      <c r="O453" s="437"/>
      <c r="P453" s="437"/>
      <c r="Q453" s="437"/>
      <c r="R453" s="437"/>
      <c r="S453" s="437"/>
    </row>
    <row r="454" spans="1:19" ht="12.75" customHeight="1" x14ac:dyDescent="0.25">
      <c r="A454" s="431">
        <v>5</v>
      </c>
      <c r="B454" s="431">
        <v>0</v>
      </c>
      <c r="C454" s="432" t="s">
        <v>2421</v>
      </c>
      <c r="D454" s="433" t="s">
        <v>835</v>
      </c>
      <c r="E454" s="434"/>
      <c r="F454" s="435"/>
      <c r="G454" s="436">
        <v>230000</v>
      </c>
      <c r="H454" s="436">
        <f t="shared" si="7"/>
        <v>230</v>
      </c>
      <c r="I454" s="437"/>
      <c r="J454" s="437"/>
      <c r="K454" s="437"/>
      <c r="L454" s="437"/>
      <c r="M454" s="437"/>
      <c r="N454" s="437"/>
      <c r="O454" s="437"/>
      <c r="P454" s="437"/>
      <c r="Q454" s="437"/>
      <c r="R454" s="437"/>
      <c r="S454" s="437"/>
    </row>
    <row r="455" spans="1:19" ht="12.75" customHeight="1" x14ac:dyDescent="0.25">
      <c r="A455" s="431">
        <v>5</v>
      </c>
      <c r="B455" s="431">
        <v>0</v>
      </c>
      <c r="C455" s="432" t="s">
        <v>2422</v>
      </c>
      <c r="D455" s="433" t="s">
        <v>836</v>
      </c>
      <c r="E455" s="434"/>
      <c r="F455" s="435"/>
      <c r="G455" s="436">
        <v>4400000</v>
      </c>
      <c r="H455" s="436">
        <f t="shared" si="7"/>
        <v>4400</v>
      </c>
      <c r="I455" s="437"/>
      <c r="J455" s="437"/>
      <c r="K455" s="437"/>
      <c r="L455" s="437"/>
      <c r="M455" s="437"/>
      <c r="N455" s="437"/>
      <c r="O455" s="437"/>
      <c r="P455" s="437"/>
      <c r="Q455" s="437"/>
      <c r="R455" s="437"/>
      <c r="S455" s="437"/>
    </row>
    <row r="456" spans="1:19" ht="12.75" customHeight="1" x14ac:dyDescent="0.25">
      <c r="A456" s="431">
        <v>5</v>
      </c>
      <c r="B456" s="431">
        <v>0</v>
      </c>
      <c r="C456" s="432" t="s">
        <v>2423</v>
      </c>
      <c r="D456" s="433" t="s">
        <v>837</v>
      </c>
      <c r="E456" s="434"/>
      <c r="F456" s="435"/>
      <c r="G456" s="436">
        <v>130000</v>
      </c>
      <c r="H456" s="436">
        <f t="shared" si="7"/>
        <v>130</v>
      </c>
      <c r="I456" s="437"/>
      <c r="J456" s="437"/>
      <c r="K456" s="437"/>
      <c r="L456" s="437"/>
      <c r="M456" s="437"/>
      <c r="N456" s="437"/>
      <c r="O456" s="437"/>
      <c r="P456" s="437"/>
      <c r="Q456" s="437"/>
      <c r="R456" s="437"/>
      <c r="S456" s="437"/>
    </row>
    <row r="457" spans="1:19" ht="12.75" customHeight="1" x14ac:dyDescent="0.25">
      <c r="A457" s="431">
        <v>5</v>
      </c>
      <c r="B457" s="431">
        <v>0</v>
      </c>
      <c r="C457" s="432" t="s">
        <v>2424</v>
      </c>
      <c r="D457" s="433" t="s">
        <v>838</v>
      </c>
      <c r="E457" s="434"/>
      <c r="F457" s="435"/>
      <c r="G457" s="436">
        <v>3785690</v>
      </c>
      <c r="H457" s="436">
        <f t="shared" si="7"/>
        <v>3785.69</v>
      </c>
      <c r="I457" s="437"/>
      <c r="J457" s="437"/>
      <c r="K457" s="437"/>
      <c r="L457" s="437"/>
      <c r="M457" s="437"/>
      <c r="N457" s="437"/>
      <c r="O457" s="437"/>
      <c r="P457" s="437"/>
      <c r="Q457" s="437"/>
      <c r="R457" s="437"/>
      <c r="S457" s="437"/>
    </row>
    <row r="458" spans="1:19" ht="12.75" customHeight="1" x14ac:dyDescent="0.25">
      <c r="A458" s="431">
        <v>5</v>
      </c>
      <c r="B458" s="431">
        <v>0</v>
      </c>
      <c r="C458" s="432" t="s">
        <v>2425</v>
      </c>
      <c r="D458" s="433" t="s">
        <v>839</v>
      </c>
      <c r="E458" s="434"/>
      <c r="F458" s="435"/>
      <c r="G458" s="436">
        <v>7000</v>
      </c>
      <c r="H458" s="436">
        <f t="shared" si="7"/>
        <v>7</v>
      </c>
      <c r="I458" s="437"/>
      <c r="J458" s="437"/>
      <c r="K458" s="437"/>
      <c r="L458" s="437"/>
      <c r="M458" s="437"/>
      <c r="N458" s="437"/>
      <c r="O458" s="437"/>
      <c r="P458" s="437"/>
      <c r="Q458" s="437"/>
      <c r="R458" s="437"/>
      <c r="S458" s="437"/>
    </row>
    <row r="459" spans="1:19" ht="12.75" customHeight="1" x14ac:dyDescent="0.25">
      <c r="A459" s="431">
        <v>5</v>
      </c>
      <c r="B459" s="431">
        <v>0</v>
      </c>
      <c r="C459" s="432" t="s">
        <v>2426</v>
      </c>
      <c r="D459" s="433" t="s">
        <v>2427</v>
      </c>
      <c r="E459" s="434"/>
      <c r="F459" s="435"/>
      <c r="G459" s="436">
        <v>11780000</v>
      </c>
      <c r="H459" s="436">
        <f t="shared" si="7"/>
        <v>11780</v>
      </c>
      <c r="I459" s="437"/>
      <c r="J459" s="437"/>
      <c r="K459" s="437"/>
      <c r="L459" s="437"/>
      <c r="M459" s="437"/>
      <c r="N459" s="437"/>
      <c r="O459" s="437"/>
      <c r="P459" s="437"/>
      <c r="Q459" s="437"/>
      <c r="R459" s="437"/>
      <c r="S459" s="437"/>
    </row>
    <row r="460" spans="1:19" ht="12.75" customHeight="1" x14ac:dyDescent="0.25">
      <c r="A460" s="431">
        <v>4</v>
      </c>
      <c r="B460" s="431">
        <v>1</v>
      </c>
      <c r="C460" s="432" t="s">
        <v>2428</v>
      </c>
      <c r="D460" s="433" t="s">
        <v>841</v>
      </c>
      <c r="E460" s="434"/>
      <c r="F460" s="435"/>
      <c r="G460" s="436">
        <v>5855000</v>
      </c>
      <c r="H460" s="436">
        <f t="shared" si="7"/>
        <v>5855</v>
      </c>
      <c r="I460" s="437"/>
      <c r="J460" s="437"/>
      <c r="K460" s="437"/>
      <c r="L460" s="437"/>
      <c r="M460" s="437"/>
      <c r="N460" s="437"/>
      <c r="O460" s="437"/>
      <c r="P460" s="437"/>
      <c r="Q460" s="437"/>
      <c r="R460" s="437"/>
      <c r="S460" s="437"/>
    </row>
    <row r="461" spans="1:19" ht="12.75" customHeight="1" x14ac:dyDescent="0.25">
      <c r="A461" s="431">
        <v>5</v>
      </c>
      <c r="B461" s="431">
        <v>0</v>
      </c>
      <c r="C461" s="432" t="s">
        <v>2429</v>
      </c>
      <c r="D461" s="433" t="s">
        <v>842</v>
      </c>
      <c r="E461" s="434"/>
      <c r="F461" s="435"/>
      <c r="G461" s="436">
        <v>105000</v>
      </c>
      <c r="H461" s="436">
        <f t="shared" si="7"/>
        <v>105</v>
      </c>
      <c r="I461" s="437"/>
      <c r="J461" s="437"/>
      <c r="K461" s="437"/>
      <c r="L461" s="437"/>
      <c r="M461" s="437"/>
      <c r="N461" s="437"/>
      <c r="O461" s="437"/>
      <c r="P461" s="437"/>
      <c r="Q461" s="437"/>
      <c r="R461" s="437"/>
      <c r="S461" s="437"/>
    </row>
    <row r="462" spans="1:19" ht="12.75" customHeight="1" x14ac:dyDescent="0.25">
      <c r="A462" s="431">
        <v>5</v>
      </c>
      <c r="B462" s="431">
        <v>0</v>
      </c>
      <c r="C462" s="432" t="s">
        <v>2430</v>
      </c>
      <c r="D462" s="433" t="s">
        <v>843</v>
      </c>
      <c r="E462" s="434"/>
      <c r="F462" s="435"/>
      <c r="G462" s="436">
        <v>1950000</v>
      </c>
      <c r="H462" s="436">
        <f t="shared" si="7"/>
        <v>1950</v>
      </c>
      <c r="I462" s="437"/>
      <c r="J462" s="437"/>
      <c r="K462" s="437"/>
      <c r="L462" s="437"/>
      <c r="M462" s="437"/>
      <c r="N462" s="437"/>
      <c r="O462" s="437"/>
      <c r="P462" s="437"/>
      <c r="Q462" s="437"/>
      <c r="R462" s="437"/>
      <c r="S462" s="437"/>
    </row>
    <row r="463" spans="1:19" ht="12.75" customHeight="1" x14ac:dyDescent="0.25">
      <c r="A463" s="431">
        <v>5</v>
      </c>
      <c r="B463" s="431">
        <v>0</v>
      </c>
      <c r="C463" s="432" t="s">
        <v>2431</v>
      </c>
      <c r="D463" s="433" t="s">
        <v>844</v>
      </c>
      <c r="E463" s="434"/>
      <c r="F463" s="435"/>
      <c r="G463" s="436">
        <v>1500000</v>
      </c>
      <c r="H463" s="436">
        <f t="shared" si="7"/>
        <v>1500</v>
      </c>
      <c r="I463" s="437"/>
      <c r="J463" s="437"/>
      <c r="K463" s="437"/>
      <c r="L463" s="437"/>
      <c r="M463" s="437"/>
      <c r="N463" s="437"/>
      <c r="O463" s="437"/>
      <c r="P463" s="437"/>
      <c r="Q463" s="437"/>
      <c r="R463" s="437"/>
      <c r="S463" s="437"/>
    </row>
    <row r="464" spans="1:19" ht="12.75" customHeight="1" x14ac:dyDescent="0.25">
      <c r="A464" s="431">
        <v>5</v>
      </c>
      <c r="B464" s="431">
        <v>0</v>
      </c>
      <c r="C464" s="432" t="s">
        <v>2432</v>
      </c>
      <c r="D464" s="433" t="s">
        <v>845</v>
      </c>
      <c r="E464" s="434"/>
      <c r="F464" s="435"/>
      <c r="G464" s="436">
        <v>990000</v>
      </c>
      <c r="H464" s="436">
        <f t="shared" si="7"/>
        <v>990</v>
      </c>
      <c r="I464" s="437"/>
      <c r="J464" s="437"/>
      <c r="K464" s="437"/>
      <c r="L464" s="437"/>
      <c r="M464" s="437"/>
      <c r="N464" s="437"/>
      <c r="O464" s="437"/>
      <c r="P464" s="437"/>
      <c r="Q464" s="437"/>
      <c r="R464" s="437"/>
      <c r="S464" s="437"/>
    </row>
    <row r="465" spans="1:19" ht="12.75" customHeight="1" x14ac:dyDescent="0.25">
      <c r="A465" s="431">
        <v>5</v>
      </c>
      <c r="B465" s="431">
        <v>0</v>
      </c>
      <c r="C465" s="432" t="s">
        <v>2433</v>
      </c>
      <c r="D465" s="433" t="s">
        <v>846</v>
      </c>
      <c r="E465" s="434"/>
      <c r="F465" s="435"/>
      <c r="G465" s="436">
        <v>200000</v>
      </c>
      <c r="H465" s="436">
        <f t="shared" si="7"/>
        <v>200</v>
      </c>
      <c r="I465" s="437"/>
      <c r="J465" s="437"/>
      <c r="K465" s="437"/>
      <c r="L465" s="437"/>
      <c r="M465" s="437"/>
      <c r="N465" s="437"/>
      <c r="O465" s="437"/>
      <c r="P465" s="437"/>
      <c r="Q465" s="437"/>
      <c r="R465" s="437"/>
      <c r="S465" s="437"/>
    </row>
    <row r="466" spans="1:19" ht="12.75" customHeight="1" x14ac:dyDescent="0.25">
      <c r="A466" s="431">
        <v>5</v>
      </c>
      <c r="B466" s="431">
        <v>0</v>
      </c>
      <c r="C466" s="432" t="s">
        <v>2434</v>
      </c>
      <c r="D466" s="433" t="s">
        <v>847</v>
      </c>
      <c r="E466" s="434"/>
      <c r="F466" s="435"/>
      <c r="G466" s="436">
        <v>1110000</v>
      </c>
      <c r="H466" s="436">
        <f t="shared" si="7"/>
        <v>1110</v>
      </c>
      <c r="I466" s="437"/>
      <c r="J466" s="437"/>
      <c r="K466" s="437"/>
      <c r="L466" s="437"/>
      <c r="M466" s="437"/>
      <c r="N466" s="437"/>
      <c r="O466" s="437"/>
      <c r="P466" s="437"/>
      <c r="Q466" s="437"/>
      <c r="R466" s="437"/>
      <c r="S466" s="437"/>
    </row>
    <row r="467" spans="1:19" ht="12.75" customHeight="1" x14ac:dyDescent="0.25">
      <c r="A467" s="431">
        <v>4</v>
      </c>
      <c r="B467" s="431">
        <v>1</v>
      </c>
      <c r="C467" s="432" t="s">
        <v>2435</v>
      </c>
      <c r="D467" s="433" t="s">
        <v>848</v>
      </c>
      <c r="E467" s="434"/>
      <c r="F467" s="435"/>
      <c r="G467" s="436">
        <v>1500000</v>
      </c>
      <c r="H467" s="436">
        <f t="shared" si="7"/>
        <v>1500</v>
      </c>
      <c r="I467" s="437"/>
      <c r="J467" s="437"/>
      <c r="K467" s="437"/>
      <c r="L467" s="437"/>
      <c r="M467" s="437"/>
      <c r="N467" s="437"/>
      <c r="O467" s="437"/>
      <c r="P467" s="437"/>
      <c r="Q467" s="437"/>
      <c r="R467" s="437"/>
      <c r="S467" s="437"/>
    </row>
    <row r="468" spans="1:19" ht="12.75" customHeight="1" x14ac:dyDescent="0.25">
      <c r="A468" s="431">
        <v>5</v>
      </c>
      <c r="B468" s="431">
        <v>0</v>
      </c>
      <c r="C468" s="432" t="s">
        <v>2436</v>
      </c>
      <c r="D468" s="433" t="s">
        <v>150</v>
      </c>
      <c r="E468" s="434"/>
      <c r="F468" s="435"/>
      <c r="G468" s="436">
        <v>1500000</v>
      </c>
      <c r="H468" s="436">
        <f t="shared" si="7"/>
        <v>1500</v>
      </c>
      <c r="I468" s="437"/>
      <c r="J468" s="437"/>
      <c r="K468" s="437"/>
      <c r="L468" s="437"/>
      <c r="M468" s="437"/>
      <c r="N468" s="437"/>
      <c r="O468" s="437"/>
      <c r="P468" s="437"/>
      <c r="Q468" s="437"/>
      <c r="R468" s="437"/>
      <c r="S468" s="437"/>
    </row>
    <row r="469" spans="1:19" ht="12.75" customHeight="1" x14ac:dyDescent="0.25">
      <c r="A469" s="431">
        <v>2</v>
      </c>
      <c r="B469" s="431">
        <v>3</v>
      </c>
      <c r="C469" s="432" t="s">
        <v>855</v>
      </c>
      <c r="D469" s="433" t="s">
        <v>856</v>
      </c>
      <c r="E469" s="434"/>
      <c r="F469" s="435"/>
      <c r="G469" s="436">
        <v>80000</v>
      </c>
      <c r="H469" s="436">
        <f t="shared" si="7"/>
        <v>80</v>
      </c>
      <c r="I469" s="437"/>
      <c r="J469" s="437"/>
      <c r="K469" s="437"/>
      <c r="L469" s="437"/>
      <c r="M469" s="437"/>
      <c r="N469" s="437"/>
      <c r="O469" s="437"/>
      <c r="P469" s="437"/>
      <c r="Q469" s="437"/>
      <c r="R469" s="437"/>
      <c r="S469" s="437"/>
    </row>
    <row r="470" spans="1:19" ht="12.75" customHeight="1" x14ac:dyDescent="0.25">
      <c r="A470" s="431">
        <v>3</v>
      </c>
      <c r="B470" s="431">
        <v>2</v>
      </c>
      <c r="C470" s="432" t="s">
        <v>862</v>
      </c>
      <c r="D470" s="433" t="s">
        <v>863</v>
      </c>
      <c r="E470" s="434"/>
      <c r="F470" s="435"/>
      <c r="G470" s="436">
        <v>80000</v>
      </c>
      <c r="H470" s="436">
        <f t="shared" si="7"/>
        <v>80</v>
      </c>
      <c r="I470" s="437"/>
      <c r="J470" s="437"/>
      <c r="K470" s="437"/>
      <c r="L470" s="437"/>
      <c r="M470" s="437"/>
      <c r="N470" s="437"/>
      <c r="O470" s="437"/>
      <c r="P470" s="437"/>
      <c r="Q470" s="437"/>
      <c r="R470" s="437"/>
      <c r="S470" s="437"/>
    </row>
    <row r="471" spans="1:19" ht="12.75" customHeight="1" x14ac:dyDescent="0.25">
      <c r="A471" s="431">
        <v>4</v>
      </c>
      <c r="B471" s="431">
        <v>1</v>
      </c>
      <c r="C471" s="432" t="s">
        <v>2437</v>
      </c>
      <c r="D471" s="433" t="s">
        <v>864</v>
      </c>
      <c r="E471" s="434"/>
      <c r="F471" s="435"/>
      <c r="G471" s="436">
        <v>80000</v>
      </c>
      <c r="H471" s="436">
        <f t="shared" si="7"/>
        <v>80</v>
      </c>
      <c r="I471" s="437"/>
      <c r="J471" s="437"/>
      <c r="K471" s="437"/>
      <c r="L471" s="437"/>
      <c r="M471" s="437"/>
      <c r="N471" s="437"/>
      <c r="O471" s="437"/>
      <c r="P471" s="437"/>
      <c r="Q471" s="437"/>
      <c r="R471" s="437"/>
      <c r="S471" s="437"/>
    </row>
    <row r="472" spans="1:19" ht="12.75" customHeight="1" x14ac:dyDescent="0.25">
      <c r="A472" s="431">
        <v>5</v>
      </c>
      <c r="B472" s="431">
        <v>0</v>
      </c>
      <c r="C472" s="432" t="s">
        <v>2438</v>
      </c>
      <c r="D472" s="433" t="s">
        <v>865</v>
      </c>
      <c r="E472" s="434"/>
      <c r="F472" s="435"/>
      <c r="G472" s="436">
        <v>80000</v>
      </c>
      <c r="H472" s="436">
        <f t="shared" si="7"/>
        <v>80</v>
      </c>
      <c r="I472" s="437"/>
      <c r="J472" s="437"/>
      <c r="K472" s="437"/>
      <c r="L472" s="437"/>
      <c r="M472" s="437"/>
      <c r="N472" s="437"/>
      <c r="O472" s="437"/>
      <c r="P472" s="437"/>
      <c r="Q472" s="437"/>
      <c r="R472" s="437"/>
      <c r="S472" s="437"/>
    </row>
    <row r="473" spans="1:19" ht="12.75" customHeight="1" x14ac:dyDescent="0.25">
      <c r="A473" s="431">
        <v>2</v>
      </c>
      <c r="B473" s="431">
        <v>3</v>
      </c>
      <c r="C473" s="432" t="s">
        <v>880</v>
      </c>
      <c r="D473" s="433" t="s">
        <v>2439</v>
      </c>
      <c r="E473" s="434"/>
      <c r="F473" s="435"/>
      <c r="G473" s="436">
        <v>53438000</v>
      </c>
      <c r="H473" s="436">
        <f t="shared" si="7"/>
        <v>53438</v>
      </c>
      <c r="I473" s="437"/>
      <c r="J473" s="437"/>
      <c r="K473" s="437"/>
      <c r="L473" s="437"/>
      <c r="M473" s="437"/>
      <c r="N473" s="437"/>
      <c r="O473" s="437"/>
      <c r="P473" s="437"/>
      <c r="Q473" s="437"/>
      <c r="R473" s="437"/>
      <c r="S473" s="437"/>
    </row>
    <row r="474" spans="1:19" ht="12.75" customHeight="1" x14ac:dyDescent="0.25">
      <c r="A474" s="431">
        <v>3</v>
      </c>
      <c r="B474" s="431">
        <v>2</v>
      </c>
      <c r="C474" s="432" t="s">
        <v>883</v>
      </c>
      <c r="D474" s="433" t="s">
        <v>884</v>
      </c>
      <c r="E474" s="434"/>
      <c r="F474" s="435"/>
      <c r="G474" s="436">
        <v>53438000</v>
      </c>
      <c r="H474" s="436">
        <f t="shared" si="7"/>
        <v>53438</v>
      </c>
      <c r="I474" s="437"/>
      <c r="J474" s="437"/>
      <c r="K474" s="437"/>
      <c r="L474" s="437"/>
      <c r="M474" s="437"/>
      <c r="N474" s="437"/>
      <c r="O474" s="437"/>
      <c r="P474" s="437"/>
      <c r="Q474" s="437"/>
      <c r="R474" s="437"/>
      <c r="S474" s="437"/>
    </row>
    <row r="475" spans="1:19" ht="12.75" customHeight="1" x14ac:dyDescent="0.25">
      <c r="A475" s="431">
        <v>4</v>
      </c>
      <c r="B475" s="431">
        <v>1</v>
      </c>
      <c r="C475" s="432" t="s">
        <v>2440</v>
      </c>
      <c r="D475" s="433" t="s">
        <v>885</v>
      </c>
      <c r="E475" s="434"/>
      <c r="F475" s="435"/>
      <c r="G475" s="436">
        <v>29988000</v>
      </c>
      <c r="H475" s="436">
        <f t="shared" si="7"/>
        <v>29988</v>
      </c>
      <c r="I475" s="437"/>
      <c r="J475" s="437"/>
      <c r="K475" s="437"/>
      <c r="L475" s="437"/>
      <c r="M475" s="437"/>
      <c r="N475" s="437"/>
      <c r="O475" s="437"/>
      <c r="P475" s="437"/>
      <c r="Q475" s="437"/>
      <c r="R475" s="437"/>
      <c r="S475" s="437"/>
    </row>
    <row r="476" spans="1:19" ht="12.75" customHeight="1" x14ac:dyDescent="0.25">
      <c r="A476" s="431">
        <v>5</v>
      </c>
      <c r="B476" s="431">
        <v>0</v>
      </c>
      <c r="C476" s="432" t="s">
        <v>2441</v>
      </c>
      <c r="D476" s="433" t="s">
        <v>886</v>
      </c>
      <c r="E476" s="434"/>
      <c r="F476" s="435"/>
      <c r="G476" s="436">
        <v>4311000</v>
      </c>
      <c r="H476" s="436">
        <f t="shared" si="7"/>
        <v>4311</v>
      </c>
      <c r="I476" s="437"/>
      <c r="J476" s="437"/>
      <c r="K476" s="437"/>
      <c r="L476" s="437"/>
      <c r="M476" s="437"/>
      <c r="N476" s="437"/>
      <c r="O476" s="437"/>
      <c r="P476" s="437"/>
      <c r="Q476" s="437"/>
      <c r="R476" s="437"/>
      <c r="S476" s="437"/>
    </row>
    <row r="477" spans="1:19" ht="12.75" customHeight="1" x14ac:dyDescent="0.25">
      <c r="A477" s="431">
        <v>5</v>
      </c>
      <c r="B477" s="431">
        <v>0</v>
      </c>
      <c r="C477" s="432" t="s">
        <v>2442</v>
      </c>
      <c r="D477" s="433" t="s">
        <v>887</v>
      </c>
      <c r="E477" s="434"/>
      <c r="F477" s="435"/>
      <c r="G477" s="436">
        <v>3498000</v>
      </c>
      <c r="H477" s="436">
        <f t="shared" si="7"/>
        <v>3498</v>
      </c>
      <c r="I477" s="437"/>
      <c r="J477" s="437"/>
      <c r="K477" s="437"/>
      <c r="L477" s="437"/>
      <c r="M477" s="437"/>
      <c r="N477" s="437"/>
      <c r="O477" s="437"/>
      <c r="P477" s="437"/>
      <c r="Q477" s="437"/>
      <c r="R477" s="437"/>
      <c r="S477" s="437"/>
    </row>
    <row r="478" spans="1:19" ht="12.75" customHeight="1" x14ac:dyDescent="0.25">
      <c r="A478" s="431">
        <v>5</v>
      </c>
      <c r="B478" s="431">
        <v>0</v>
      </c>
      <c r="C478" s="432" t="s">
        <v>2443</v>
      </c>
      <c r="D478" s="433" t="s">
        <v>888</v>
      </c>
      <c r="E478" s="434"/>
      <c r="F478" s="435"/>
      <c r="G478" s="436">
        <v>6190000</v>
      </c>
      <c r="H478" s="436">
        <f t="shared" si="7"/>
        <v>6190</v>
      </c>
      <c r="I478" s="437"/>
      <c r="J478" s="437"/>
      <c r="K478" s="437"/>
      <c r="L478" s="437"/>
      <c r="M478" s="437"/>
      <c r="N478" s="437"/>
      <c r="O478" s="437"/>
      <c r="P478" s="437"/>
      <c r="Q478" s="437"/>
      <c r="R478" s="437"/>
      <c r="S478" s="437"/>
    </row>
    <row r="479" spans="1:19" ht="12.75" customHeight="1" x14ac:dyDescent="0.25">
      <c r="A479" s="431">
        <v>5</v>
      </c>
      <c r="B479" s="431">
        <v>0</v>
      </c>
      <c r="C479" s="432" t="s">
        <v>2444</v>
      </c>
      <c r="D479" s="433" t="s">
        <v>890</v>
      </c>
      <c r="E479" s="434"/>
      <c r="F479" s="435"/>
      <c r="G479" s="436">
        <v>8000000</v>
      </c>
      <c r="H479" s="436">
        <f t="shared" si="7"/>
        <v>8000</v>
      </c>
      <c r="I479" s="437"/>
      <c r="J479" s="437"/>
      <c r="K479" s="437"/>
      <c r="L479" s="437"/>
      <c r="M479" s="437"/>
      <c r="N479" s="437"/>
      <c r="O479" s="437"/>
      <c r="P479" s="437"/>
      <c r="Q479" s="437"/>
      <c r="R479" s="437"/>
      <c r="S479" s="437"/>
    </row>
    <row r="480" spans="1:19" ht="12.75" customHeight="1" x14ac:dyDescent="0.25">
      <c r="A480" s="431">
        <v>5</v>
      </c>
      <c r="B480" s="431">
        <v>0</v>
      </c>
      <c r="C480" s="432" t="s">
        <v>2445</v>
      </c>
      <c r="D480" s="433" t="s">
        <v>1690</v>
      </c>
      <c r="E480" s="434"/>
      <c r="F480" s="435"/>
      <c r="G480" s="436">
        <v>4545000</v>
      </c>
      <c r="H480" s="436">
        <f t="shared" si="7"/>
        <v>4545</v>
      </c>
      <c r="I480" s="437"/>
      <c r="J480" s="437"/>
      <c r="K480" s="437"/>
      <c r="L480" s="437"/>
      <c r="M480" s="437"/>
      <c r="N480" s="437"/>
      <c r="O480" s="437"/>
      <c r="P480" s="437"/>
      <c r="Q480" s="437"/>
      <c r="R480" s="437"/>
      <c r="S480" s="437"/>
    </row>
    <row r="481" spans="1:19" ht="12.75" customHeight="1" x14ac:dyDescent="0.25">
      <c r="A481" s="431">
        <v>5</v>
      </c>
      <c r="B481" s="431">
        <v>0</v>
      </c>
      <c r="C481" s="432" t="s">
        <v>2446</v>
      </c>
      <c r="D481" s="433" t="s">
        <v>891</v>
      </c>
      <c r="E481" s="434"/>
      <c r="F481" s="435"/>
      <c r="G481" s="436">
        <v>3444000</v>
      </c>
      <c r="H481" s="436">
        <f t="shared" si="7"/>
        <v>3444</v>
      </c>
      <c r="I481" s="437"/>
      <c r="J481" s="437"/>
      <c r="K481" s="437"/>
      <c r="L481" s="437"/>
      <c r="M481" s="437"/>
      <c r="N481" s="437"/>
      <c r="O481" s="437"/>
      <c r="P481" s="437"/>
      <c r="Q481" s="437"/>
      <c r="R481" s="437"/>
      <c r="S481" s="437"/>
    </row>
    <row r="482" spans="1:19" ht="12.75" customHeight="1" x14ac:dyDescent="0.25">
      <c r="A482" s="431">
        <v>4</v>
      </c>
      <c r="B482" s="431">
        <v>1</v>
      </c>
      <c r="C482" s="432" t="s">
        <v>2447</v>
      </c>
      <c r="D482" s="433" t="s">
        <v>892</v>
      </c>
      <c r="E482" s="434"/>
      <c r="F482" s="435"/>
      <c r="G482" s="436">
        <v>22900000</v>
      </c>
      <c r="H482" s="436">
        <f t="shared" si="7"/>
        <v>22900</v>
      </c>
      <c r="I482" s="437"/>
      <c r="J482" s="437"/>
      <c r="K482" s="437"/>
      <c r="L482" s="437"/>
      <c r="M482" s="437"/>
      <c r="N482" s="437"/>
      <c r="O482" s="437"/>
      <c r="P482" s="437"/>
      <c r="Q482" s="437"/>
      <c r="R482" s="437"/>
      <c r="S482" s="437"/>
    </row>
    <row r="483" spans="1:19" ht="12.75" customHeight="1" x14ac:dyDescent="0.25">
      <c r="A483" s="431">
        <v>5</v>
      </c>
      <c r="B483" s="431">
        <v>0</v>
      </c>
      <c r="C483" s="432" t="s">
        <v>2448</v>
      </c>
      <c r="D483" s="433" t="s">
        <v>893</v>
      </c>
      <c r="E483" s="434"/>
      <c r="F483" s="435"/>
      <c r="G483" s="436">
        <v>8429000</v>
      </c>
      <c r="H483" s="436">
        <f t="shared" si="7"/>
        <v>8429</v>
      </c>
      <c r="I483" s="437"/>
      <c r="J483" s="437"/>
      <c r="K483" s="437"/>
      <c r="L483" s="437"/>
      <c r="M483" s="437"/>
      <c r="N483" s="437"/>
      <c r="O483" s="437"/>
      <c r="P483" s="437"/>
      <c r="Q483" s="437"/>
      <c r="R483" s="437"/>
      <c r="S483" s="437"/>
    </row>
    <row r="484" spans="1:19" ht="12.75" customHeight="1" x14ac:dyDescent="0.25">
      <c r="A484" s="431">
        <v>5</v>
      </c>
      <c r="B484" s="431">
        <v>0</v>
      </c>
      <c r="C484" s="432" t="s">
        <v>2449</v>
      </c>
      <c r="D484" s="433" t="s">
        <v>894</v>
      </c>
      <c r="E484" s="434"/>
      <c r="F484" s="435"/>
      <c r="G484" s="436">
        <v>14471000</v>
      </c>
      <c r="H484" s="436">
        <f t="shared" si="7"/>
        <v>14471</v>
      </c>
      <c r="I484" s="437"/>
      <c r="J484" s="437"/>
      <c r="K484" s="437"/>
      <c r="L484" s="437"/>
      <c r="M484" s="437"/>
      <c r="N484" s="437"/>
      <c r="O484" s="437"/>
      <c r="P484" s="437"/>
      <c r="Q484" s="437"/>
      <c r="R484" s="437"/>
      <c r="S484" s="437"/>
    </row>
    <row r="485" spans="1:19" ht="12.75" customHeight="1" x14ac:dyDescent="0.25">
      <c r="A485" s="431">
        <v>4</v>
      </c>
      <c r="B485" s="431">
        <v>1</v>
      </c>
      <c r="C485" s="432" t="s">
        <v>2450</v>
      </c>
      <c r="D485" s="433" t="s">
        <v>895</v>
      </c>
      <c r="E485" s="434"/>
      <c r="F485" s="435"/>
      <c r="G485" s="436">
        <v>550000</v>
      </c>
      <c r="H485" s="436">
        <f t="shared" si="7"/>
        <v>550</v>
      </c>
      <c r="I485" s="437"/>
      <c r="J485" s="437"/>
      <c r="K485" s="437"/>
      <c r="L485" s="437"/>
      <c r="M485" s="437"/>
      <c r="N485" s="437"/>
      <c r="O485" s="437"/>
      <c r="P485" s="437"/>
      <c r="Q485" s="437"/>
      <c r="R485" s="437"/>
      <c r="S485" s="437"/>
    </row>
    <row r="486" spans="1:19" ht="12.75" customHeight="1" x14ac:dyDescent="0.25">
      <c r="A486" s="431">
        <v>5</v>
      </c>
      <c r="B486" s="431">
        <v>0</v>
      </c>
      <c r="C486" s="432" t="s">
        <v>2451</v>
      </c>
      <c r="D486" s="433" t="s">
        <v>896</v>
      </c>
      <c r="E486" s="434"/>
      <c r="F486" s="435"/>
      <c r="G486" s="436">
        <v>550000</v>
      </c>
      <c r="H486" s="436">
        <f t="shared" si="7"/>
        <v>550</v>
      </c>
      <c r="I486" s="437"/>
      <c r="J486" s="437"/>
      <c r="K486" s="437"/>
      <c r="L486" s="437"/>
      <c r="M486" s="437"/>
      <c r="N486" s="437"/>
      <c r="O486" s="437"/>
      <c r="P486" s="437"/>
      <c r="Q486" s="437"/>
      <c r="R486" s="437"/>
      <c r="S486" s="437"/>
    </row>
    <row r="487" spans="1:19" ht="12.75" customHeight="1" x14ac:dyDescent="0.25">
      <c r="C487" s="432" t="s">
        <v>9</v>
      </c>
      <c r="D487" s="433" t="s">
        <v>1980</v>
      </c>
      <c r="E487" s="434"/>
      <c r="F487" s="435"/>
      <c r="G487" s="436">
        <v>0.43422176639978699</v>
      </c>
      <c r="H487" s="436">
        <f t="shared" si="7"/>
        <v>4.3422176639978699E-4</v>
      </c>
      <c r="I487" s="421"/>
      <c r="J487" s="421"/>
      <c r="K487" s="421"/>
      <c r="L487" s="421"/>
      <c r="M487" s="421"/>
      <c r="N487" s="421"/>
      <c r="O487" s="421"/>
      <c r="P487" s="421"/>
      <c r="Q487" s="421"/>
      <c r="R487" s="421"/>
      <c r="S487" s="421"/>
    </row>
    <row r="489" spans="1:19" x14ac:dyDescent="0.25">
      <c r="C489" s="439" t="s">
        <v>1981</v>
      </c>
      <c r="D489" s="440" t="s">
        <v>1982</v>
      </c>
      <c r="E489" s="440"/>
      <c r="F489" s="440"/>
    </row>
    <row r="490" spans="1:19" x14ac:dyDescent="0.25">
      <c r="C490" s="441"/>
      <c r="D490" s="441"/>
      <c r="E490" s="441"/>
      <c r="F490" s="441"/>
    </row>
    <row r="491" spans="1:19" x14ac:dyDescent="0.25">
      <c r="C491" s="441"/>
      <c r="D491" s="441"/>
      <c r="E491" s="441"/>
      <c r="F491" s="441"/>
    </row>
    <row r="492" spans="1:19" x14ac:dyDescent="0.25">
      <c r="C492" s="442" t="s">
        <v>1983</v>
      </c>
      <c r="D492" s="443" t="s">
        <v>1984</v>
      </c>
      <c r="E492" s="444" t="s">
        <v>1985</v>
      </c>
      <c r="F492" s="444" t="s">
        <v>1986</v>
      </c>
    </row>
    <row r="493" spans="1:19" x14ac:dyDescent="0.25">
      <c r="C493" s="445"/>
      <c r="D493" s="443" t="s">
        <v>1987</v>
      </c>
      <c r="E493" s="443"/>
      <c r="F493" s="443" t="s">
        <v>1988</v>
      </c>
    </row>
    <row r="494" spans="1:19" x14ac:dyDescent="0.25">
      <c r="C494" s="445"/>
      <c r="D494" s="443"/>
      <c r="E494" s="443"/>
      <c r="F494" s="443"/>
    </row>
    <row r="495" spans="1:19" x14ac:dyDescent="0.25">
      <c r="C495" s="445"/>
      <c r="D495" s="443"/>
      <c r="E495" s="443"/>
      <c r="F495" s="443"/>
    </row>
    <row r="496" spans="1:19" x14ac:dyDescent="0.25">
      <c r="C496" s="444" t="s">
        <v>1989</v>
      </c>
      <c r="D496" s="441" t="s">
        <v>1990</v>
      </c>
      <c r="E496" s="439" t="s">
        <v>1991</v>
      </c>
      <c r="F496" s="446" t="s">
        <v>1992</v>
      </c>
    </row>
    <row r="497" spans="3:6" x14ac:dyDescent="0.25">
      <c r="C497" s="441"/>
      <c r="D497" s="441" t="s">
        <v>1993</v>
      </c>
      <c r="E497" s="441"/>
      <c r="F497" s="441" t="s">
        <v>1994</v>
      </c>
    </row>
  </sheetData>
  <mergeCells count="1">
    <mergeCell ref="C3:H3"/>
  </mergeCells>
  <conditionalFormatting sqref="C10:G486">
    <cfRule type="expression" dxfId="274" priority="31">
      <formula>AND($B10=0,$A10=1,LEFT($C10,1)="A")</formula>
    </cfRule>
    <cfRule type="expression" dxfId="273" priority="33">
      <formula>$A10=3</formula>
    </cfRule>
    <cfRule type="expression" dxfId="272" priority="34">
      <formula>$A10=2</formula>
    </cfRule>
    <cfRule type="expression" dxfId="271" priority="35">
      <formula>AND($A10=1,OR($B10&lt;&gt;0,LEFT($C10,1)="I",LEFT($C10,1)="C",RIGHT($C10,1)="X"))</formula>
    </cfRule>
    <cfRule type="expression" dxfId="270" priority="36">
      <formula>$A10=0</formula>
    </cfRule>
  </conditionalFormatting>
  <conditionalFormatting sqref="C10:G486">
    <cfRule type="expression" dxfId="269" priority="32">
      <formula>$A10=4</formula>
    </cfRule>
  </conditionalFormatting>
  <conditionalFormatting sqref="D487:F487">
    <cfRule type="expression" dxfId="268" priority="25">
      <formula>AND($B487=0,$A487=1,LEFT($C487,1)="A")</formula>
    </cfRule>
    <cfRule type="expression" dxfId="267" priority="27">
      <formula>$A487=3</formula>
    </cfRule>
    <cfRule type="expression" dxfId="266" priority="28">
      <formula>$A487=2</formula>
    </cfRule>
    <cfRule type="expression" dxfId="265" priority="29">
      <formula>AND($A487=1,OR($B487&lt;&gt;0,LEFT($C487,1)="I",LEFT($C487,1)="C",RIGHT($C487,1)="X"))</formula>
    </cfRule>
    <cfRule type="expression" dxfId="264" priority="30">
      <formula>$A487=0</formula>
    </cfRule>
  </conditionalFormatting>
  <conditionalFormatting sqref="D487:F487">
    <cfRule type="expression" dxfId="263" priority="26">
      <formula>$A487=4</formula>
    </cfRule>
  </conditionalFormatting>
  <conditionalFormatting sqref="G487">
    <cfRule type="expression" dxfId="262" priority="19">
      <formula>AND($B487=0,$A487=1,LEFT($C487,1)="A")</formula>
    </cfRule>
    <cfRule type="expression" dxfId="261" priority="21">
      <formula>$A487=3</formula>
    </cfRule>
    <cfRule type="expression" dxfId="260" priority="22">
      <formula>$A487=2</formula>
    </cfRule>
    <cfRule type="expression" dxfId="259" priority="23">
      <formula>AND($A487=1,OR($B487&lt;&gt;0,LEFT($C487,1)="I",LEFT($C487,1)="C",RIGHT($C487,1)="X"))</formula>
    </cfRule>
    <cfRule type="expression" dxfId="258" priority="24">
      <formula>$A487=0</formula>
    </cfRule>
  </conditionalFormatting>
  <conditionalFormatting sqref="G487">
    <cfRule type="expression" dxfId="257" priority="20">
      <formula>$A487=4</formula>
    </cfRule>
  </conditionalFormatting>
  <conditionalFormatting sqref="C487">
    <cfRule type="expression" dxfId="256" priority="13">
      <formula>AND($B487=0,$A487=1,LEFT($C487,1)="A")</formula>
    </cfRule>
    <cfRule type="expression" dxfId="255" priority="15">
      <formula>$A487=3</formula>
    </cfRule>
    <cfRule type="expression" dxfId="254" priority="16">
      <formula>$A487=2</formula>
    </cfRule>
    <cfRule type="expression" dxfId="253" priority="17">
      <formula>AND($A487=1,OR($B487&lt;&gt;0,LEFT($C487,1)="I",LEFT($C487,1)="C",RIGHT($C487,1)="X"))</formula>
    </cfRule>
    <cfRule type="expression" dxfId="252" priority="18">
      <formula>$A487=0</formula>
    </cfRule>
  </conditionalFormatting>
  <conditionalFormatting sqref="C487">
    <cfRule type="expression" dxfId="251" priority="14">
      <formula>$A487=4</formula>
    </cfRule>
  </conditionalFormatting>
  <conditionalFormatting sqref="H10:H486">
    <cfRule type="expression" dxfId="250" priority="7">
      <formula>AND($B10=0,$A10=1,LEFT($C10,1)="A")</formula>
    </cfRule>
    <cfRule type="expression" dxfId="249" priority="9">
      <formula>$A10=3</formula>
    </cfRule>
    <cfRule type="expression" dxfId="248" priority="10">
      <formula>$A10=2</formula>
    </cfRule>
    <cfRule type="expression" dxfId="247" priority="11">
      <formula>AND($A10=1,OR($B10&lt;&gt;0,LEFT($C10,1)="I",LEFT($C10,1)="C",RIGHT($C10,1)="X"))</formula>
    </cfRule>
    <cfRule type="expression" dxfId="246" priority="12">
      <formula>$A10=0</formula>
    </cfRule>
  </conditionalFormatting>
  <conditionalFormatting sqref="H10:H486">
    <cfRule type="expression" dxfId="245" priority="8">
      <formula>$A10=4</formula>
    </cfRule>
  </conditionalFormatting>
  <conditionalFormatting sqref="H487">
    <cfRule type="expression" dxfId="244" priority="1">
      <formula>AND($B487=0,$A487=1,LEFT($C487,1)="A")</formula>
    </cfRule>
    <cfRule type="expression" dxfId="243" priority="3">
      <formula>$A487=3</formula>
    </cfRule>
    <cfRule type="expression" dxfId="242" priority="4">
      <formula>$A487=2</formula>
    </cfRule>
    <cfRule type="expression" dxfId="241" priority="5">
      <formula>AND($A487=1,OR($B487&lt;&gt;0,LEFT($C487,1)="I",LEFT($C487,1)="C",RIGHT($C487,1)="X"))</formula>
    </cfRule>
    <cfRule type="expression" dxfId="240" priority="6">
      <formula>$A487=0</formula>
    </cfRule>
  </conditionalFormatting>
  <conditionalFormatting sqref="H487">
    <cfRule type="expression" dxfId="239" priority="2">
      <formula>$A487=4</formula>
    </cfRule>
  </conditionalFormatting>
  <printOptions horizontalCentered="1"/>
  <pageMargins left="0.19685039370078741" right="0.19685039370078741" top="0.74803149606299213" bottom="0.15748031496062992" header="0.19685039370078741" footer="0.19685039370078741"/>
  <pageSetup paperSize="9" fitToHeight="0" orientation="portrait" blackAndWhite="1" verticalDpi="0" r:id="rId1"/>
  <headerFooter alignWithMargins="0">
    <oddHeader>&amp;R&amp;"Arial,Tučné"&amp;10&amp;K03+035Příkaz ředitele č. 2/2020
Příloha č.1:  Rozpočet FNOL 2020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J58"/>
  <sheetViews>
    <sheetView zoomScale="120" zoomScaleNormal="120" workbookViewId="0">
      <selection activeCell="H33" sqref="H33"/>
    </sheetView>
  </sheetViews>
  <sheetFormatPr defaultRowHeight="15" x14ac:dyDescent="0.25"/>
  <cols>
    <col min="6" max="6" width="11.28515625" customWidth="1"/>
    <col min="7" max="7" width="15.42578125" customWidth="1"/>
    <col min="8" max="8" width="14.85546875" customWidth="1"/>
    <col min="10" max="10" width="13.85546875" customWidth="1"/>
  </cols>
  <sheetData>
    <row r="1" spans="3:10" ht="15.75" thickBot="1" x14ac:dyDescent="0.3"/>
    <row r="2" spans="3:10" ht="24" thickBot="1" x14ac:dyDescent="0.3">
      <c r="C2" s="404" t="s">
        <v>1819</v>
      </c>
      <c r="D2" s="405"/>
      <c r="E2" s="405"/>
      <c r="F2" s="405"/>
      <c r="G2" s="405"/>
      <c r="H2" s="406"/>
      <c r="I2" s="243"/>
    </row>
    <row r="3" spans="3:10" ht="15" customHeight="1" x14ac:dyDescent="0.25">
      <c r="C3" s="243"/>
      <c r="D3" s="243"/>
      <c r="E3" s="243"/>
      <c r="F3" s="243"/>
      <c r="G3" s="243"/>
      <c r="H3" s="243"/>
      <c r="I3" s="243"/>
      <c r="J3" s="109"/>
    </row>
    <row r="4" spans="3:10" ht="15" customHeight="1" x14ac:dyDescent="0.25">
      <c r="C4" s="243"/>
      <c r="D4" s="243"/>
      <c r="E4" s="243"/>
      <c r="F4" s="243"/>
      <c r="G4" s="243"/>
      <c r="H4" s="243"/>
      <c r="I4" s="243"/>
      <c r="J4" s="109"/>
    </row>
    <row r="5" spans="3:10" x14ac:dyDescent="0.25">
      <c r="C5" t="s">
        <v>1802</v>
      </c>
      <c r="H5" s="67">
        <v>380000000</v>
      </c>
    </row>
    <row r="6" spans="3:10" ht="16.5" thickBot="1" x14ac:dyDescent="0.3">
      <c r="D6" s="245" t="s">
        <v>1818</v>
      </c>
      <c r="E6" s="246"/>
      <c r="G6" s="245">
        <v>387039419.00000012</v>
      </c>
      <c r="H6" s="67"/>
    </row>
    <row r="7" spans="3:10" x14ac:dyDescent="0.25">
      <c r="D7" s="244" t="s">
        <v>1798</v>
      </c>
      <c r="E7" s="301" t="s">
        <v>1801</v>
      </c>
      <c r="F7" s="301"/>
      <c r="G7" s="301"/>
      <c r="H7" s="302">
        <v>13361700</v>
      </c>
    </row>
    <row r="8" spans="3:10" x14ac:dyDescent="0.25">
      <c r="E8" t="s">
        <v>1803</v>
      </c>
      <c r="H8" s="67">
        <v>10000000</v>
      </c>
    </row>
    <row r="9" spans="3:10" x14ac:dyDescent="0.25">
      <c r="H9" s="67"/>
    </row>
    <row r="10" spans="3:10" x14ac:dyDescent="0.25">
      <c r="C10" t="s">
        <v>1804</v>
      </c>
      <c r="H10" s="67">
        <v>1036800000</v>
      </c>
    </row>
    <row r="11" spans="3:10" ht="16.5" thickBot="1" x14ac:dyDescent="0.3">
      <c r="D11" s="245" t="s">
        <v>1818</v>
      </c>
      <c r="E11" s="246"/>
      <c r="G11" s="245">
        <v>1051431262.0000007</v>
      </c>
      <c r="H11" s="67"/>
    </row>
    <row r="12" spans="3:10" x14ac:dyDescent="0.25">
      <c r="D12" s="244" t="s">
        <v>1798</v>
      </c>
      <c r="E12" s="301" t="s">
        <v>1801</v>
      </c>
      <c r="F12" s="301"/>
      <c r="G12" s="301"/>
      <c r="H12" s="302">
        <v>19200000</v>
      </c>
    </row>
    <row r="13" spans="3:10" x14ac:dyDescent="0.25">
      <c r="E13" t="s">
        <v>1803</v>
      </c>
      <c r="H13" s="67">
        <v>20000000</v>
      </c>
    </row>
    <row r="14" spans="3:10" x14ac:dyDescent="0.25">
      <c r="H14" s="67"/>
    </row>
    <row r="15" spans="3:10" x14ac:dyDescent="0.25">
      <c r="C15" t="s">
        <v>1837</v>
      </c>
      <c r="H15" s="67">
        <f>1340000000+11404800</f>
        <v>1351404800</v>
      </c>
    </row>
    <row r="16" spans="3:10" ht="16.5" thickBot="1" x14ac:dyDescent="0.3">
      <c r="D16" s="245" t="s">
        <v>1818</v>
      </c>
      <c r="E16" s="246"/>
      <c r="G16" s="245">
        <v>1569951800</v>
      </c>
      <c r="H16" s="67"/>
    </row>
    <row r="17" spans="3:10" x14ac:dyDescent="0.25">
      <c r="D17" s="244" t="s">
        <v>1798</v>
      </c>
      <c r="E17" s="301" t="s">
        <v>1801</v>
      </c>
      <c r="F17" s="301"/>
      <c r="G17" s="301"/>
      <c r="H17" s="302">
        <f>15000000+88700000</f>
        <v>103700000</v>
      </c>
    </row>
    <row r="18" spans="3:10" x14ac:dyDescent="0.25">
      <c r="H18" s="67"/>
    </row>
    <row r="19" spans="3:10" x14ac:dyDescent="0.25">
      <c r="C19" t="s">
        <v>1861</v>
      </c>
      <c r="D19" s="110"/>
      <c r="E19" s="110"/>
      <c r="F19" s="110"/>
      <c r="G19" s="110"/>
      <c r="H19" s="317">
        <f>+Návrh!L664</f>
        <v>6766800433</v>
      </c>
      <c r="I19" s="110"/>
    </row>
    <row r="20" spans="3:10" x14ac:dyDescent="0.25">
      <c r="D20" s="110" t="s">
        <v>1862</v>
      </c>
      <c r="E20" s="110" t="s">
        <v>1863</v>
      </c>
      <c r="F20" s="110"/>
      <c r="G20" s="110" t="s">
        <v>1857</v>
      </c>
      <c r="H20" s="317">
        <f>+Návrh!N8</f>
        <v>31445190.000000004</v>
      </c>
      <c r="I20" s="110"/>
    </row>
    <row r="21" spans="3:10" x14ac:dyDescent="0.25">
      <c r="D21" s="110"/>
      <c r="E21" s="110" t="s">
        <v>1864</v>
      </c>
      <c r="F21" s="110"/>
      <c r="G21" s="110" t="s">
        <v>1857</v>
      </c>
      <c r="H21" s="317">
        <v>20000000</v>
      </c>
      <c r="I21" s="110"/>
    </row>
    <row r="22" spans="3:10" x14ac:dyDescent="0.25">
      <c r="D22" s="110"/>
      <c r="E22" s="110" t="s">
        <v>1865</v>
      </c>
      <c r="F22" s="110"/>
      <c r="G22" s="110" t="s">
        <v>1857</v>
      </c>
      <c r="H22" s="317">
        <f>+Návrh!N10</f>
        <v>24099567</v>
      </c>
      <c r="I22" s="110"/>
    </row>
    <row r="23" spans="3:10" x14ac:dyDescent="0.25">
      <c r="H23" s="67"/>
    </row>
    <row r="24" spans="3:10" x14ac:dyDescent="0.25">
      <c r="C24" t="s">
        <v>1805</v>
      </c>
      <c r="H24" s="67">
        <v>416424409.90999997</v>
      </c>
    </row>
    <row r="25" spans="3:10" ht="16.5" thickBot="1" x14ac:dyDescent="0.3">
      <c r="D25" s="245" t="s">
        <v>1822</v>
      </c>
      <c r="E25" s="246"/>
      <c r="G25" s="245">
        <v>434424409.91000003</v>
      </c>
      <c r="H25" s="67"/>
    </row>
    <row r="26" spans="3:10" x14ac:dyDescent="0.25">
      <c r="E26" t="s">
        <v>1821</v>
      </c>
      <c r="H26" s="67">
        <v>18000000</v>
      </c>
    </row>
    <row r="27" spans="3:10" x14ac:dyDescent="0.25">
      <c r="D27" s="244" t="s">
        <v>1798</v>
      </c>
      <c r="E27" t="s">
        <v>1820</v>
      </c>
      <c r="H27" s="67">
        <v>6060000</v>
      </c>
    </row>
    <row r="28" spans="3:10" x14ac:dyDescent="0.25">
      <c r="F28" s="244" t="s">
        <v>1807</v>
      </c>
      <c r="G28" t="s">
        <v>1808</v>
      </c>
      <c r="H28" s="67">
        <v>4060000</v>
      </c>
    </row>
    <row r="29" spans="3:10" x14ac:dyDescent="0.25">
      <c r="G29" t="s">
        <v>1809</v>
      </c>
      <c r="H29" s="67">
        <v>2000000</v>
      </c>
    </row>
    <row r="30" spans="3:10" x14ac:dyDescent="0.25">
      <c r="H30" s="67"/>
      <c r="J30" s="67"/>
    </row>
    <row r="31" spans="3:10" x14ac:dyDescent="0.25">
      <c r="C31" t="s">
        <v>1810</v>
      </c>
      <c r="H31" s="67">
        <f>79562108+2000000</f>
        <v>81562108</v>
      </c>
    </row>
    <row r="32" spans="3:10" ht="16.5" thickBot="1" x14ac:dyDescent="0.3">
      <c r="D32" s="245" t="s">
        <v>1823</v>
      </c>
      <c r="E32" s="246"/>
      <c r="G32" s="245">
        <v>87285108</v>
      </c>
      <c r="H32" s="67"/>
    </row>
    <row r="33" spans="3:8" x14ac:dyDescent="0.25">
      <c r="E33" t="s">
        <v>1821</v>
      </c>
      <c r="H33" s="67">
        <v>5723000</v>
      </c>
    </row>
    <row r="34" spans="3:8" x14ac:dyDescent="0.25">
      <c r="D34" s="244" t="s">
        <v>1798</v>
      </c>
      <c r="E34" t="s">
        <v>1811</v>
      </c>
      <c r="G34" t="s">
        <v>1812</v>
      </c>
      <c r="H34" s="67">
        <v>2000000</v>
      </c>
    </row>
    <row r="35" spans="3:8" x14ac:dyDescent="0.25">
      <c r="H35" s="67"/>
    </row>
    <row r="36" spans="3:8" x14ac:dyDescent="0.25">
      <c r="C36" t="s">
        <v>1813</v>
      </c>
      <c r="H36" s="67">
        <v>30000000</v>
      </c>
    </row>
    <row r="37" spans="3:8" ht="16.5" thickBot="1" x14ac:dyDescent="0.3">
      <c r="D37" s="245" t="s">
        <v>1823</v>
      </c>
      <c r="E37" s="246"/>
      <c r="G37" s="245">
        <v>48000000</v>
      </c>
      <c r="H37" s="67"/>
    </row>
    <row r="38" spans="3:8" x14ac:dyDescent="0.25">
      <c r="E38" t="s">
        <v>1806</v>
      </c>
      <c r="H38" s="67">
        <v>18000000</v>
      </c>
    </row>
    <row r="39" spans="3:8" x14ac:dyDescent="0.25">
      <c r="D39" s="244" t="s">
        <v>1798</v>
      </c>
      <c r="E39" t="s">
        <v>1814</v>
      </c>
      <c r="G39" t="s">
        <v>1815</v>
      </c>
      <c r="H39" s="67">
        <v>3000000</v>
      </c>
    </row>
    <row r="40" spans="3:8" x14ac:dyDescent="0.25">
      <c r="H40" s="67"/>
    </row>
    <row r="41" spans="3:8" x14ac:dyDescent="0.25">
      <c r="C41" t="s">
        <v>1816</v>
      </c>
      <c r="H41" s="67"/>
    </row>
    <row r="42" spans="3:8" ht="16.5" thickBot="1" x14ac:dyDescent="0.3">
      <c r="D42" s="245" t="s">
        <v>1828</v>
      </c>
      <c r="E42" s="246"/>
      <c r="G42" s="245">
        <v>6821000</v>
      </c>
      <c r="H42" s="67"/>
    </row>
    <row r="43" spans="3:8" ht="16.5" thickBot="1" x14ac:dyDescent="0.3">
      <c r="D43" s="245" t="s">
        <v>1827</v>
      </c>
      <c r="E43" s="246"/>
      <c r="G43" s="245">
        <v>6230000</v>
      </c>
      <c r="H43" s="67"/>
    </row>
    <row r="44" spans="3:8" x14ac:dyDescent="0.25">
      <c r="E44" t="s">
        <v>1824</v>
      </c>
      <c r="H44" s="67">
        <v>400000</v>
      </c>
    </row>
    <row r="45" spans="3:8" x14ac:dyDescent="0.25">
      <c r="E45" t="s">
        <v>1825</v>
      </c>
      <c r="H45" s="67">
        <v>300000</v>
      </c>
    </row>
    <row r="46" spans="3:8" x14ac:dyDescent="0.25">
      <c r="D46" s="244" t="s">
        <v>1798</v>
      </c>
      <c r="E46" t="s">
        <v>1826</v>
      </c>
      <c r="G46" t="s">
        <v>1817</v>
      </c>
      <c r="H46" s="67">
        <v>200000</v>
      </c>
    </row>
    <row r="47" spans="3:8" x14ac:dyDescent="0.25">
      <c r="H47" s="67"/>
    </row>
    <row r="48" spans="3:8" x14ac:dyDescent="0.25">
      <c r="H48" s="67"/>
    </row>
    <row r="49" spans="8:8" x14ac:dyDescent="0.25">
      <c r="H49" s="67"/>
    </row>
    <row r="50" spans="8:8" x14ac:dyDescent="0.25">
      <c r="H50" s="67"/>
    </row>
    <row r="51" spans="8:8" x14ac:dyDescent="0.25">
      <c r="H51" s="67"/>
    </row>
    <row r="52" spans="8:8" x14ac:dyDescent="0.25">
      <c r="H52" s="67"/>
    </row>
    <row r="53" spans="8:8" x14ac:dyDescent="0.25">
      <c r="H53" s="67"/>
    </row>
    <row r="54" spans="8:8" x14ac:dyDescent="0.25">
      <c r="H54" s="67"/>
    </row>
    <row r="55" spans="8:8" x14ac:dyDescent="0.25">
      <c r="H55" s="67"/>
    </row>
    <row r="56" spans="8:8" x14ac:dyDescent="0.25">
      <c r="H56" s="67"/>
    </row>
    <row r="57" spans="8:8" x14ac:dyDescent="0.25">
      <c r="H57" s="67"/>
    </row>
    <row r="58" spans="8:8" x14ac:dyDescent="0.25">
      <c r="H58" s="67"/>
    </row>
  </sheetData>
  <mergeCells count="1">
    <mergeCell ref="C2:H2"/>
  </mergeCells>
  <pageMargins left="0.7" right="0.7" top="0.78740157499999996" bottom="0.78740157499999996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6AECB-B777-4B92-B197-4BCCC732936F}">
  <sheetPr>
    <pageSetUpPr fitToPage="1"/>
  </sheetPr>
  <dimension ref="B2:AW79"/>
  <sheetViews>
    <sheetView workbookViewId="0">
      <selection activeCell="J4" sqref="J4:J5"/>
    </sheetView>
  </sheetViews>
  <sheetFormatPr defaultRowHeight="15" x14ac:dyDescent="0.25"/>
  <cols>
    <col min="3" max="3" width="11.7109375" customWidth="1"/>
    <col min="4" max="4" width="23.7109375" customWidth="1"/>
    <col min="5" max="5" width="2.7109375" customWidth="1"/>
    <col min="6" max="6" width="11.7109375" customWidth="1"/>
    <col min="7" max="7" width="23.7109375" customWidth="1"/>
    <col min="8" max="8" width="2.7109375" customWidth="1"/>
    <col min="9" max="9" width="11.7109375" customWidth="1"/>
    <col min="10" max="10" width="23.7109375" customWidth="1"/>
    <col min="11" max="11" width="5.5703125" customWidth="1"/>
    <col min="12" max="12" width="2.7109375" customWidth="1"/>
    <col min="13" max="13" width="11.7109375" customWidth="1"/>
    <col min="14" max="14" width="23.7109375" customWidth="1"/>
    <col min="17" max="17" width="11.5703125" bestFit="1" customWidth="1"/>
    <col min="49" max="49" width="13.28515625" customWidth="1"/>
  </cols>
  <sheetData>
    <row r="2" spans="2:49" x14ac:dyDescent="0.25">
      <c r="D2" s="322" t="s">
        <v>1872</v>
      </c>
      <c r="J2" s="323" t="s">
        <v>1872</v>
      </c>
      <c r="N2" s="322" t="s">
        <v>1872</v>
      </c>
    </row>
    <row r="3" spans="2:49" x14ac:dyDescent="0.25">
      <c r="D3" s="313" t="s">
        <v>1840</v>
      </c>
      <c r="E3" s="313"/>
      <c r="J3" s="313" t="s">
        <v>1842</v>
      </c>
      <c r="N3" s="313" t="s">
        <v>1843</v>
      </c>
    </row>
    <row r="4" spans="2:49" x14ac:dyDescent="0.25">
      <c r="C4" s="314" t="s">
        <v>1844</v>
      </c>
      <c r="D4" s="67">
        <v>10000000</v>
      </c>
      <c r="E4" s="67"/>
      <c r="H4" s="67"/>
      <c r="I4" s="314" t="s">
        <v>1808</v>
      </c>
      <c r="J4" s="67">
        <v>4060000</v>
      </c>
      <c r="K4" s="67" t="s">
        <v>1845</v>
      </c>
      <c r="L4" s="314"/>
      <c r="M4" s="314" t="s">
        <v>1846</v>
      </c>
      <c r="N4" s="67">
        <v>13400000</v>
      </c>
      <c r="O4" t="s">
        <v>1847</v>
      </c>
    </row>
    <row r="5" spans="2:49" x14ac:dyDescent="0.25">
      <c r="C5" s="314" t="s">
        <v>1848</v>
      </c>
      <c r="D5" s="67">
        <v>20000000</v>
      </c>
      <c r="E5" s="67"/>
      <c r="H5" s="67"/>
      <c r="I5" s="314" t="s">
        <v>1809</v>
      </c>
      <c r="J5" s="67">
        <v>2000000</v>
      </c>
      <c r="K5" s="67" t="s">
        <v>1845</v>
      </c>
      <c r="L5" s="314"/>
      <c r="M5" s="314" t="s">
        <v>1815</v>
      </c>
      <c r="N5" s="67">
        <v>27000000</v>
      </c>
      <c r="O5" t="s">
        <v>1849</v>
      </c>
    </row>
    <row r="6" spans="2:49" x14ac:dyDescent="0.25">
      <c r="C6" s="318" t="s">
        <v>1850</v>
      </c>
      <c r="D6" s="302">
        <f>+Návrh!L334/(Návrh!$L$334+Návrh!$L$362+Návrh!$L$364+Návrh!$L$374+Návrh!$L$381)*$AW$6</f>
        <v>61906000.403609149</v>
      </c>
      <c r="E6" s="67"/>
      <c r="H6" s="67"/>
      <c r="I6" s="314" t="s">
        <v>1812</v>
      </c>
      <c r="J6" s="67">
        <v>2000000</v>
      </c>
      <c r="K6" s="67" t="s">
        <v>1794</v>
      </c>
      <c r="L6" s="314"/>
      <c r="M6" s="314" t="s">
        <v>1851</v>
      </c>
      <c r="N6" s="67">
        <v>3890000</v>
      </c>
      <c r="O6" t="s">
        <v>1858</v>
      </c>
      <c r="AW6" s="67">
        <f>+Návrh!N1</f>
        <v>84455243.00080204</v>
      </c>
    </row>
    <row r="7" spans="2:49" x14ac:dyDescent="0.25">
      <c r="C7" s="319" t="s">
        <v>1852</v>
      </c>
      <c r="D7" s="302">
        <f>+Návrh!L362/(Návrh!$L$334+Návrh!$L$362+Návrh!$L$364+Návrh!$L$374+Návrh!$L$381)*$AW$6</f>
        <v>5641201.8005062109</v>
      </c>
      <c r="E7" s="67"/>
      <c r="H7" s="67"/>
      <c r="I7" s="314" t="s">
        <v>1815</v>
      </c>
      <c r="J7" s="67">
        <v>3000000</v>
      </c>
      <c r="K7" s="67" t="s">
        <v>1793</v>
      </c>
      <c r="L7" s="67"/>
      <c r="M7" s="314" t="s">
        <v>1853</v>
      </c>
      <c r="N7" s="67">
        <v>4008000</v>
      </c>
      <c r="O7" t="s">
        <v>1858</v>
      </c>
    </row>
    <row r="8" spans="2:49" x14ac:dyDescent="0.25">
      <c r="C8" s="319" t="s">
        <v>1852</v>
      </c>
      <c r="D8" s="302">
        <f>+Návrh!L364/(Návrh!$L$334+Návrh!$L$362+Návrh!$L$364+Návrh!$L$374+Návrh!$L$381)*$AW$6</f>
        <v>15390500.201990612</v>
      </c>
      <c r="E8" s="67"/>
      <c r="F8" s="67"/>
      <c r="G8" s="67"/>
      <c r="H8" s="67"/>
      <c r="I8" s="314" t="s">
        <v>1817</v>
      </c>
      <c r="J8" s="67">
        <v>200000</v>
      </c>
      <c r="K8" s="67" t="s">
        <v>1793</v>
      </c>
      <c r="L8" s="67"/>
      <c r="M8" s="314" t="s">
        <v>1873</v>
      </c>
      <c r="N8" s="67">
        <v>150000</v>
      </c>
      <c r="O8" s="324" t="s">
        <v>1867</v>
      </c>
    </row>
    <row r="9" spans="2:49" x14ac:dyDescent="0.25">
      <c r="C9" s="319" t="s">
        <v>1854</v>
      </c>
      <c r="D9" s="302">
        <f>+Návrh!L374/(Návrh!$L$334+Návrh!$L$362+Návrh!$L$364+Návrh!$L$374+Návrh!$L$381)*$AW$6</f>
        <v>260005.20191371586</v>
      </c>
      <c r="E9" s="67"/>
      <c r="F9" s="67"/>
      <c r="G9" s="67"/>
      <c r="H9" s="67"/>
      <c r="J9" t="s">
        <v>1872</v>
      </c>
      <c r="K9" s="67"/>
      <c r="L9" s="67"/>
      <c r="M9" s="314" t="s">
        <v>1874</v>
      </c>
      <c r="N9" s="67">
        <v>2186000</v>
      </c>
      <c r="O9" s="324" t="s">
        <v>1868</v>
      </c>
    </row>
    <row r="10" spans="2:49" x14ac:dyDescent="0.25">
      <c r="C10" s="319" t="s">
        <v>1855</v>
      </c>
      <c r="D10" s="302">
        <f>+Návrh!L381/(Návrh!$L$334+Návrh!$L$362+Návrh!$L$364+Návrh!$L$374+Návrh!$L$381)*$AW$6</f>
        <v>1257535.3927823515</v>
      </c>
      <c r="E10" s="67"/>
      <c r="F10" s="67"/>
      <c r="G10" s="67"/>
      <c r="H10" s="67"/>
      <c r="I10" s="313"/>
      <c r="J10" s="313" t="s">
        <v>1841</v>
      </c>
      <c r="K10" s="67"/>
      <c r="L10" s="67"/>
      <c r="M10" s="314" t="s">
        <v>1875</v>
      </c>
      <c r="N10" s="67">
        <v>200000</v>
      </c>
      <c r="O10" s="325" t="s">
        <v>1869</v>
      </c>
    </row>
    <row r="11" spans="2:49" x14ac:dyDescent="0.25">
      <c r="B11" s="407" t="s">
        <v>1856</v>
      </c>
      <c r="C11" s="314" t="s">
        <v>1857</v>
      </c>
      <c r="D11" s="67">
        <f>+Návrh!N10</f>
        <v>24099567</v>
      </c>
      <c r="E11" s="67"/>
      <c r="F11" s="67"/>
      <c r="G11" s="67"/>
      <c r="H11" s="67"/>
      <c r="I11" s="314" t="s">
        <v>1844</v>
      </c>
      <c r="J11" s="67">
        <v>13361700</v>
      </c>
      <c r="K11" s="67"/>
      <c r="L11" s="67"/>
      <c r="M11" s="314" t="s">
        <v>1876</v>
      </c>
      <c r="N11" s="67">
        <v>450000</v>
      </c>
      <c r="O11" s="324" t="s">
        <v>1870</v>
      </c>
    </row>
    <row r="12" spans="2:49" x14ac:dyDescent="0.25">
      <c r="B12" s="407"/>
      <c r="C12" s="314" t="s">
        <v>1857</v>
      </c>
      <c r="D12" s="67">
        <f>+Návrh!N8</f>
        <v>31445190.000000004</v>
      </c>
      <c r="E12" s="67"/>
      <c r="F12" s="67"/>
      <c r="G12" s="67"/>
      <c r="H12" s="67"/>
      <c r="I12" s="314" t="s">
        <v>1848</v>
      </c>
      <c r="J12" s="67">
        <v>19200000</v>
      </c>
      <c r="K12" s="67"/>
      <c r="L12" s="67"/>
      <c r="M12" s="314" t="s">
        <v>1877</v>
      </c>
      <c r="N12" s="67">
        <v>260000</v>
      </c>
      <c r="O12" s="324" t="s">
        <v>1871</v>
      </c>
    </row>
    <row r="13" spans="2:49" x14ac:dyDescent="0.25">
      <c r="B13" s="408"/>
      <c r="C13" s="314" t="s">
        <v>1857</v>
      </c>
      <c r="D13" s="67">
        <v>20000000</v>
      </c>
      <c r="E13" s="67"/>
      <c r="F13" s="67"/>
      <c r="G13" s="67"/>
      <c r="H13" s="67"/>
      <c r="I13" s="314" t="s">
        <v>1859</v>
      </c>
      <c r="J13" s="67">
        <v>88700000</v>
      </c>
      <c r="K13" s="67"/>
      <c r="L13" s="67"/>
      <c r="M13" s="314" t="s">
        <v>1878</v>
      </c>
      <c r="N13" s="67">
        <v>75000</v>
      </c>
      <c r="O13" s="324" t="s">
        <v>1891</v>
      </c>
    </row>
    <row r="14" spans="2:49" x14ac:dyDescent="0.25">
      <c r="C14" s="314" t="s">
        <v>1916</v>
      </c>
      <c r="D14" s="67">
        <v>400000</v>
      </c>
      <c r="E14" s="67"/>
      <c r="F14" s="67"/>
      <c r="G14" s="67"/>
      <c r="H14" s="67"/>
      <c r="I14" s="314" t="s">
        <v>1860</v>
      </c>
      <c r="J14" s="67">
        <v>15000000</v>
      </c>
      <c r="K14" s="67"/>
      <c r="L14" s="67"/>
      <c r="M14" s="314" t="s">
        <v>1879</v>
      </c>
      <c r="N14" s="67">
        <v>180000</v>
      </c>
      <c r="O14" s="324" t="s">
        <v>1892</v>
      </c>
    </row>
    <row r="15" spans="2:49" x14ac:dyDescent="0.25">
      <c r="D15" s="67"/>
      <c r="E15" s="67"/>
      <c r="F15" s="67"/>
      <c r="G15" s="67"/>
      <c r="H15" s="67"/>
      <c r="I15" s="67"/>
      <c r="J15" s="67"/>
      <c r="K15" s="67"/>
      <c r="L15" s="67"/>
      <c r="M15" s="314" t="s">
        <v>1880</v>
      </c>
      <c r="N15" s="67">
        <v>5000</v>
      </c>
      <c r="O15" s="324" t="s">
        <v>1893</v>
      </c>
    </row>
    <row r="16" spans="2:49" x14ac:dyDescent="0.25">
      <c r="D16" s="67"/>
      <c r="E16" s="67"/>
      <c r="F16" s="67"/>
      <c r="G16" s="67"/>
      <c r="H16" s="67"/>
      <c r="I16" s="67" t="s">
        <v>1936</v>
      </c>
      <c r="J16" s="67">
        <f>SUM(J4:J8)+SUM(J11:J14)</f>
        <v>147521700</v>
      </c>
      <c r="K16" s="67"/>
      <c r="L16" s="67"/>
      <c r="M16" s="314" t="s">
        <v>1881</v>
      </c>
      <c r="N16" s="67">
        <v>100000</v>
      </c>
      <c r="O16" s="324" t="s">
        <v>1894</v>
      </c>
    </row>
    <row r="17" spans="4:16" x14ac:dyDescent="0.25">
      <c r="D17" s="67"/>
      <c r="E17" s="67"/>
      <c r="F17" s="67"/>
      <c r="G17" s="67"/>
      <c r="H17" s="67"/>
      <c r="I17" s="67" t="s">
        <v>1936</v>
      </c>
      <c r="J17" s="67">
        <f>+D4+D5+D14</f>
        <v>30400000</v>
      </c>
      <c r="K17" s="67"/>
      <c r="L17" s="67"/>
      <c r="M17" s="314" t="s">
        <v>1882</v>
      </c>
      <c r="N17" s="67">
        <v>1000000</v>
      </c>
      <c r="O17" s="324" t="s">
        <v>1895</v>
      </c>
    </row>
    <row r="18" spans="4:16" x14ac:dyDescent="0.25">
      <c r="D18" s="67"/>
      <c r="E18" s="67"/>
      <c r="F18" s="67"/>
      <c r="G18" s="67"/>
      <c r="H18" s="67"/>
      <c r="I18" s="67"/>
      <c r="J18" s="201">
        <f>SUM(J16:J17)</f>
        <v>177921700</v>
      </c>
      <c r="K18" s="67"/>
      <c r="L18" s="67"/>
      <c r="M18" s="314" t="s">
        <v>1883</v>
      </c>
      <c r="N18" s="67">
        <v>125000</v>
      </c>
      <c r="O18" s="324" t="s">
        <v>1896</v>
      </c>
    </row>
    <row r="19" spans="4:16" x14ac:dyDescent="0.25">
      <c r="D19" s="67"/>
      <c r="E19" s="67"/>
      <c r="F19" s="67"/>
      <c r="G19" s="67"/>
      <c r="H19" s="67"/>
      <c r="I19" s="67"/>
      <c r="J19" s="67"/>
      <c r="K19" s="67"/>
      <c r="L19" s="67"/>
      <c r="M19" s="314" t="s">
        <v>1884</v>
      </c>
      <c r="N19" s="67">
        <v>250000</v>
      </c>
      <c r="O19" s="324" t="s">
        <v>1897</v>
      </c>
    </row>
    <row r="20" spans="4:16" x14ac:dyDescent="0.25">
      <c r="I20" t="s">
        <v>1937</v>
      </c>
      <c r="J20" s="67">
        <f>+SUM(D11:D13)</f>
        <v>75544757</v>
      </c>
      <c r="M20" s="314" t="s">
        <v>1885</v>
      </c>
      <c r="N20" s="67">
        <v>600000</v>
      </c>
      <c r="O20" s="324" t="s">
        <v>1898</v>
      </c>
    </row>
    <row r="21" spans="4:16" x14ac:dyDescent="0.25">
      <c r="M21" s="314" t="s">
        <v>1886</v>
      </c>
      <c r="N21" s="67">
        <v>460000</v>
      </c>
      <c r="O21" s="324" t="s">
        <v>1899</v>
      </c>
    </row>
    <row r="22" spans="4:16" x14ac:dyDescent="0.25">
      <c r="M22" s="314" t="s">
        <v>1887</v>
      </c>
      <c r="N22" s="67">
        <v>200000</v>
      </c>
      <c r="O22" s="324" t="s">
        <v>1900</v>
      </c>
    </row>
    <row r="23" spans="4:16" x14ac:dyDescent="0.25">
      <c r="M23" s="314" t="s">
        <v>1888</v>
      </c>
      <c r="N23" s="67">
        <v>35000</v>
      </c>
      <c r="O23" s="324" t="s">
        <v>1901</v>
      </c>
    </row>
    <row r="24" spans="4:16" x14ac:dyDescent="0.25">
      <c r="M24" s="314" t="s">
        <v>1889</v>
      </c>
      <c r="N24" s="67">
        <v>350000</v>
      </c>
      <c r="O24" s="324" t="s">
        <v>1902</v>
      </c>
    </row>
    <row r="25" spans="4:16" x14ac:dyDescent="0.25">
      <c r="M25" s="314" t="s">
        <v>1890</v>
      </c>
      <c r="N25" s="67">
        <v>976000</v>
      </c>
      <c r="O25" s="324" t="s">
        <v>1903</v>
      </c>
    </row>
    <row r="26" spans="4:16" x14ac:dyDescent="0.25">
      <c r="M26" s="314" t="s">
        <v>1904</v>
      </c>
      <c r="N26" s="67">
        <v>500000</v>
      </c>
      <c r="O26" s="324" t="s">
        <v>1910</v>
      </c>
      <c r="P26" s="324"/>
    </row>
    <row r="27" spans="4:16" x14ac:dyDescent="0.25">
      <c r="M27" s="314" t="s">
        <v>1905</v>
      </c>
      <c r="N27" s="67">
        <v>1000000</v>
      </c>
      <c r="O27" s="324" t="s">
        <v>1911</v>
      </c>
      <c r="P27" s="324"/>
    </row>
    <row r="28" spans="4:16" x14ac:dyDescent="0.25">
      <c r="M28" s="314" t="s">
        <v>1909</v>
      </c>
      <c r="N28" s="67">
        <v>290000</v>
      </c>
      <c r="O28" s="324" t="s">
        <v>1912</v>
      </c>
      <c r="P28" s="324"/>
    </row>
    <row r="29" spans="4:16" x14ac:dyDescent="0.25">
      <c r="M29" s="314" t="s">
        <v>1906</v>
      </c>
      <c r="N29" s="67">
        <v>500000</v>
      </c>
      <c r="O29" s="324" t="s">
        <v>1913</v>
      </c>
      <c r="P29" s="324"/>
    </row>
    <row r="30" spans="4:16" x14ac:dyDescent="0.25">
      <c r="M30" s="314" t="s">
        <v>1917</v>
      </c>
      <c r="N30" s="67">
        <v>1199999.9989999998</v>
      </c>
    </row>
    <row r="31" spans="4:16" x14ac:dyDescent="0.25">
      <c r="M31" s="314" t="s">
        <v>1918</v>
      </c>
      <c r="N31" s="67">
        <v>124999.99919999999</v>
      </c>
    </row>
    <row r="32" spans="4:16" x14ac:dyDescent="0.25">
      <c r="M32" s="314" t="s">
        <v>1919</v>
      </c>
      <c r="N32" s="67">
        <v>499999.99960000004</v>
      </c>
    </row>
    <row r="33" spans="13:17" x14ac:dyDescent="0.25">
      <c r="M33" s="314" t="s">
        <v>1920</v>
      </c>
      <c r="N33" s="67">
        <v>1499999.9998000001</v>
      </c>
    </row>
    <row r="34" spans="13:17" x14ac:dyDescent="0.25">
      <c r="M34" s="314" t="s">
        <v>1921</v>
      </c>
      <c r="N34" s="67">
        <v>174999.9999</v>
      </c>
    </row>
    <row r="35" spans="13:17" x14ac:dyDescent="0.25">
      <c r="M35" s="314" t="s">
        <v>1922</v>
      </c>
      <c r="N35" s="67">
        <v>4790000.0007000007</v>
      </c>
    </row>
    <row r="36" spans="13:17" x14ac:dyDescent="0.25">
      <c r="M36" s="314" t="s">
        <v>1923</v>
      </c>
      <c r="N36" s="67">
        <v>4505329.9880999997</v>
      </c>
    </row>
    <row r="37" spans="13:17" x14ac:dyDescent="0.25">
      <c r="M37" s="314" t="s">
        <v>1924</v>
      </c>
      <c r="N37" s="67">
        <v>1290000</v>
      </c>
      <c r="P37" t="s">
        <v>1936</v>
      </c>
      <c r="Q37" s="67">
        <f>SUM(N4:N37)</f>
        <v>72275329.986299992</v>
      </c>
    </row>
    <row r="38" spans="13:17" x14ac:dyDescent="0.25">
      <c r="M38" s="314" t="s">
        <v>1925</v>
      </c>
      <c r="N38" s="67">
        <v>-2499999.9994999999</v>
      </c>
      <c r="P38" t="s">
        <v>1937</v>
      </c>
      <c r="Q38" s="67">
        <f>SUM(N38:N50)</f>
        <v>-147132398.8497</v>
      </c>
    </row>
    <row r="39" spans="13:17" x14ac:dyDescent="0.25">
      <c r="M39" s="314" t="s">
        <v>1926</v>
      </c>
      <c r="N39" s="67">
        <v>-4505329.9880999997</v>
      </c>
    </row>
    <row r="40" spans="13:17" x14ac:dyDescent="0.25">
      <c r="M40" s="314" t="s">
        <v>1927</v>
      </c>
      <c r="N40" s="67">
        <v>-5000000.0789000001</v>
      </c>
    </row>
    <row r="41" spans="13:17" x14ac:dyDescent="0.25">
      <c r="M41" s="314" t="s">
        <v>1928</v>
      </c>
      <c r="N41" s="67">
        <v>-70000</v>
      </c>
    </row>
    <row r="42" spans="13:17" x14ac:dyDescent="0.25">
      <c r="M42" s="314" t="s">
        <v>1929</v>
      </c>
      <c r="N42" s="67">
        <v>-3000000</v>
      </c>
    </row>
    <row r="43" spans="13:17" x14ac:dyDescent="0.25">
      <c r="M43" s="314" t="s">
        <v>1930</v>
      </c>
      <c r="N43" s="67">
        <v>-7000</v>
      </c>
    </row>
    <row r="44" spans="13:17" x14ac:dyDescent="0.25">
      <c r="M44" s="314" t="s">
        <v>1931</v>
      </c>
      <c r="N44" s="67">
        <v>-67.740799999999993</v>
      </c>
    </row>
    <row r="45" spans="13:17" x14ac:dyDescent="0.25">
      <c r="M45" s="314" t="s">
        <v>1932</v>
      </c>
      <c r="N45" s="67">
        <v>-1.0425</v>
      </c>
    </row>
    <row r="46" spans="13:17" x14ac:dyDescent="0.25">
      <c r="M46" s="314" t="s">
        <v>1933</v>
      </c>
      <c r="N46" s="67">
        <v>-50000000.000100002</v>
      </c>
    </row>
    <row r="47" spans="13:17" x14ac:dyDescent="0.25">
      <c r="M47" s="315" t="s">
        <v>1934</v>
      </c>
      <c r="N47" s="67">
        <v>-19999999.999899998</v>
      </c>
    </row>
    <row r="48" spans="13:17" x14ac:dyDescent="0.25">
      <c r="M48" s="314" t="s">
        <v>1935</v>
      </c>
      <c r="N48" s="67">
        <v>-59999999.999899998</v>
      </c>
    </row>
    <row r="49" spans="13:19" x14ac:dyDescent="0.25">
      <c r="M49" s="315" t="s">
        <v>1907</v>
      </c>
      <c r="N49" s="67">
        <v>-1500000</v>
      </c>
      <c r="O49" s="324" t="s">
        <v>1914</v>
      </c>
      <c r="P49" s="324"/>
      <c r="Q49" s="326"/>
      <c r="R49" s="326"/>
      <c r="S49" s="326"/>
    </row>
    <row r="50" spans="13:19" x14ac:dyDescent="0.25">
      <c r="M50" s="314" t="s">
        <v>1908</v>
      </c>
      <c r="N50" s="67">
        <v>-550000</v>
      </c>
      <c r="O50" s="324" t="s">
        <v>1915</v>
      </c>
      <c r="P50" s="324"/>
      <c r="Q50" s="326"/>
      <c r="R50" s="326"/>
      <c r="S50" s="326"/>
    </row>
    <row r="78" spans="13:19" x14ac:dyDescent="0.25">
      <c r="M78" s="315"/>
      <c r="N78" s="67"/>
      <c r="O78" s="324"/>
      <c r="P78" s="324"/>
      <c r="Q78" s="326"/>
      <c r="R78" s="326"/>
      <c r="S78" s="326"/>
    </row>
    <row r="79" spans="13:19" x14ac:dyDescent="0.25">
      <c r="M79" s="314"/>
      <c r="N79" s="67"/>
      <c r="O79" s="324"/>
      <c r="P79" s="324"/>
      <c r="Q79" s="326"/>
      <c r="R79" s="326"/>
      <c r="S79" s="326"/>
    </row>
  </sheetData>
  <mergeCells count="1">
    <mergeCell ref="B11:B13"/>
  </mergeCells>
  <phoneticPr fontId="10" type="noConversion"/>
  <pageMargins left="0.16" right="0.16" top="0.78740157480314965" bottom="0.78740157480314965" header="0.31496062992125984" footer="0.31496062992125984"/>
  <pageSetup paperSize="9" scale="6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FF2BA-3FBA-4CB5-97FC-C786034B668A}">
  <dimension ref="A1:Y128"/>
  <sheetViews>
    <sheetView topLeftCell="C1" zoomScale="120" zoomScaleNormal="120" workbookViewId="0">
      <pane ySplit="5" topLeftCell="A93" activePane="bottomLeft" state="frozen"/>
      <selection pane="bottomLeft" activeCell="J128" sqref="J128"/>
    </sheetView>
  </sheetViews>
  <sheetFormatPr defaultRowHeight="15" x14ac:dyDescent="0.25"/>
  <cols>
    <col min="1" max="1" width="14.7109375" style="330" customWidth="1"/>
    <col min="2" max="2" width="20.7109375" style="330" customWidth="1"/>
    <col min="3" max="3" width="21.7109375" style="330" customWidth="1"/>
    <col min="4" max="4" width="22" style="330" customWidth="1"/>
    <col min="5" max="7" width="14.7109375" style="330" customWidth="1"/>
    <col min="8" max="8" width="16.28515625" style="330" customWidth="1"/>
    <col min="9" max="9" width="14.7109375" style="330" customWidth="1"/>
    <col min="10" max="10" width="25.5703125" style="330" customWidth="1"/>
    <col min="11" max="11" width="14.28515625" style="330" customWidth="1"/>
    <col min="12" max="12" width="14.85546875" style="330" customWidth="1"/>
    <col min="13" max="13" width="10.42578125" style="330" customWidth="1"/>
    <col min="14" max="14" width="13.85546875" style="330" customWidth="1"/>
    <col min="15" max="16384" width="9.140625" style="330"/>
  </cols>
  <sheetData>
    <row r="1" spans="1:22" ht="15.75" thickBot="1" x14ac:dyDescent="0.3">
      <c r="A1" s="421"/>
      <c r="B1" s="421"/>
      <c r="C1" s="456"/>
      <c r="D1" s="457"/>
      <c r="E1" s="421"/>
      <c r="F1" s="421"/>
      <c r="G1" s="421"/>
      <c r="H1" s="421"/>
      <c r="I1" s="421"/>
    </row>
    <row r="2" spans="1:22" ht="15.75" thickBot="1" x14ac:dyDescent="0.3">
      <c r="A2" s="421"/>
      <c r="B2" s="421"/>
      <c r="C2" s="421"/>
      <c r="D2" s="458" t="s">
        <v>3</v>
      </c>
      <c r="E2" s="459" t="s">
        <v>4</v>
      </c>
      <c r="F2" s="459" t="s">
        <v>4</v>
      </c>
      <c r="G2" s="459" t="s">
        <v>4</v>
      </c>
      <c r="H2" s="460" t="s">
        <v>2453</v>
      </c>
      <c r="I2" s="461" t="s">
        <v>1714</v>
      </c>
    </row>
    <row r="3" spans="1:22" ht="15.75" thickBot="1" x14ac:dyDescent="0.3">
      <c r="A3" s="421"/>
      <c r="B3" s="421"/>
      <c r="C3" s="421"/>
      <c r="D3" s="458" t="s">
        <v>5</v>
      </c>
      <c r="E3" s="459" t="s">
        <v>0</v>
      </c>
      <c r="F3" s="459">
        <v>2018</v>
      </c>
      <c r="G3" s="459" t="s">
        <v>1</v>
      </c>
      <c r="H3" s="462">
        <v>2019</v>
      </c>
      <c r="I3" s="463">
        <v>2020</v>
      </c>
    </row>
    <row r="4" spans="1:22" ht="15.75" thickBot="1" x14ac:dyDescent="0.3">
      <c r="A4" s="421"/>
      <c r="B4" s="421"/>
      <c r="C4" s="464"/>
      <c r="D4" s="458" t="s">
        <v>6</v>
      </c>
      <c r="E4" s="459" t="s">
        <v>8</v>
      </c>
      <c r="F4" s="459" t="s">
        <v>8</v>
      </c>
      <c r="G4" s="461" t="s">
        <v>7</v>
      </c>
      <c r="H4" s="465"/>
      <c r="I4" s="461" t="s">
        <v>7</v>
      </c>
    </row>
    <row r="5" spans="1:22" ht="15.75" thickBot="1" x14ac:dyDescent="0.3">
      <c r="A5" s="466" t="s">
        <v>9</v>
      </c>
      <c r="B5" s="467" t="s">
        <v>914</v>
      </c>
      <c r="C5" s="468"/>
      <c r="D5" s="421"/>
      <c r="E5" s="469"/>
      <c r="F5" s="469"/>
      <c r="G5" s="469"/>
      <c r="H5" s="469"/>
      <c r="I5" s="469"/>
      <c r="K5" s="470">
        <f>SUM(K7:K97)</f>
        <v>-24060000</v>
      </c>
    </row>
    <row r="6" spans="1:22" ht="15.75" thickTop="1" x14ac:dyDescent="0.25">
      <c r="A6" s="471" t="s">
        <v>929</v>
      </c>
      <c r="B6" s="472" t="s">
        <v>2454</v>
      </c>
      <c r="C6" s="473" t="s">
        <v>23</v>
      </c>
      <c r="D6" s="473"/>
      <c r="E6" s="469">
        <v>-516162.48</v>
      </c>
      <c r="F6" s="469">
        <v>-477150.16</v>
      </c>
      <c r="G6" s="469">
        <v>-549999.99999995995</v>
      </c>
      <c r="H6" s="474">
        <v>-390019.67</v>
      </c>
      <c r="I6" s="475">
        <v>-550000</v>
      </c>
      <c r="J6" s="105" t="s">
        <v>1696</v>
      </c>
    </row>
    <row r="7" spans="1:22" x14ac:dyDescent="0.25">
      <c r="A7" s="471" t="s">
        <v>930</v>
      </c>
      <c r="B7" s="472" t="s">
        <v>2454</v>
      </c>
      <c r="C7" s="473" t="s">
        <v>24</v>
      </c>
      <c r="D7" s="473"/>
      <c r="E7" s="469">
        <v>-2140869.25</v>
      </c>
      <c r="F7" s="469">
        <v>-2322093.02</v>
      </c>
      <c r="G7" s="469">
        <v>-2299999.9999999902</v>
      </c>
      <c r="H7" s="474">
        <v>-2095098.8</v>
      </c>
      <c r="I7" s="476">
        <v>-2500000</v>
      </c>
      <c r="J7" s="104"/>
    </row>
    <row r="8" spans="1:22" x14ac:dyDescent="0.25">
      <c r="A8" s="471" t="s">
        <v>931</v>
      </c>
      <c r="B8" s="472" t="s">
        <v>2454</v>
      </c>
      <c r="C8" s="473" t="s">
        <v>25</v>
      </c>
      <c r="D8" s="473"/>
      <c r="E8" s="469">
        <v>-145315.82</v>
      </c>
      <c r="F8" s="469">
        <v>-172455.48</v>
      </c>
      <c r="G8" s="469">
        <v>-190133.33333331801</v>
      </c>
      <c r="H8" s="474">
        <v>-139817.5</v>
      </c>
      <c r="I8" s="476">
        <v>-200000</v>
      </c>
      <c r="J8" s="104"/>
    </row>
    <row r="9" spans="1:22" x14ac:dyDescent="0.25">
      <c r="A9" s="471" t="s">
        <v>1045</v>
      </c>
      <c r="B9" s="472" t="s">
        <v>2454</v>
      </c>
      <c r="C9" s="473" t="s">
        <v>134</v>
      </c>
      <c r="D9" s="473"/>
      <c r="E9" s="469">
        <v>-434518.05</v>
      </c>
      <c r="F9" s="469">
        <v>-492176.67</v>
      </c>
      <c r="G9" s="469">
        <v>-449999.99999998801</v>
      </c>
      <c r="H9" s="474">
        <v>-309148.46000000002</v>
      </c>
      <c r="I9" s="476">
        <v>-550000</v>
      </c>
      <c r="J9" s="105" t="s">
        <v>1695</v>
      </c>
    </row>
    <row r="10" spans="1:22" x14ac:dyDescent="0.25">
      <c r="A10" s="471" t="s">
        <v>1135</v>
      </c>
      <c r="B10" s="472" t="s">
        <v>2454</v>
      </c>
      <c r="C10" s="473" t="s">
        <v>231</v>
      </c>
      <c r="D10" s="473"/>
      <c r="E10" s="469">
        <v>-2636079.87</v>
      </c>
      <c r="F10" s="469">
        <v>-2840011.66</v>
      </c>
      <c r="G10" s="469">
        <v>-2599999.99999998</v>
      </c>
      <c r="H10" s="474">
        <v>-2585027.94</v>
      </c>
      <c r="I10" s="476">
        <v>-3300000</v>
      </c>
      <c r="J10" s="105" t="s">
        <v>1694</v>
      </c>
      <c r="K10" s="470">
        <v>-400000</v>
      </c>
    </row>
    <row r="11" spans="1:22" x14ac:dyDescent="0.25">
      <c r="A11" s="471" t="s">
        <v>1192</v>
      </c>
      <c r="B11" s="472" t="s">
        <v>2454</v>
      </c>
      <c r="C11" s="473" t="s">
        <v>288</v>
      </c>
      <c r="D11" s="473"/>
      <c r="E11" s="469">
        <v>-280905.43000000098</v>
      </c>
      <c r="F11" s="469">
        <v>-356938.50000000099</v>
      </c>
      <c r="G11" s="469">
        <v>-329999.99999998399</v>
      </c>
      <c r="H11" s="474">
        <v>-244524.89</v>
      </c>
      <c r="I11" s="476">
        <v>-400000</v>
      </c>
      <c r="J11" s="104"/>
    </row>
    <row r="12" spans="1:22" x14ac:dyDescent="0.25">
      <c r="A12" s="471" t="s">
        <v>1294</v>
      </c>
      <c r="B12" s="472" t="s">
        <v>2454</v>
      </c>
      <c r="C12" s="473" t="s">
        <v>404</v>
      </c>
      <c r="D12" s="473"/>
      <c r="E12" s="469">
        <v>-20135</v>
      </c>
      <c r="F12" s="469">
        <v>-17099</v>
      </c>
      <c r="G12" s="469">
        <v>-24999.999999976</v>
      </c>
      <c r="H12" s="474">
        <v>-18130</v>
      </c>
      <c r="I12" s="476">
        <v>-25000</v>
      </c>
      <c r="J12" s="104"/>
    </row>
    <row r="13" spans="1:22" x14ac:dyDescent="0.25">
      <c r="A13" s="471" t="s">
        <v>1348</v>
      </c>
      <c r="B13" s="472" t="s">
        <v>2454</v>
      </c>
      <c r="C13" s="473" t="s">
        <v>477</v>
      </c>
      <c r="D13" s="473"/>
      <c r="E13" s="469">
        <v>-708764</v>
      </c>
      <c r="F13" s="469">
        <v>-808633</v>
      </c>
      <c r="G13" s="469">
        <v>-809999.99999997998</v>
      </c>
      <c r="H13" s="474">
        <v>-780195</v>
      </c>
      <c r="I13" s="476">
        <v>-900000</v>
      </c>
      <c r="J13" s="105" t="s">
        <v>1693</v>
      </c>
    </row>
    <row r="14" spans="1:22" x14ac:dyDescent="0.25">
      <c r="C14" s="477" t="s">
        <v>2455</v>
      </c>
      <c r="D14" s="477"/>
      <c r="E14" s="478">
        <f>SUM(E6:E13)</f>
        <v>-6882749.9000000004</v>
      </c>
      <c r="F14" s="478">
        <f t="shared" ref="F14:I14" si="0">SUM(F6:F13)</f>
        <v>-7486557.4900000012</v>
      </c>
      <c r="G14" s="478">
        <f t="shared" si="0"/>
        <v>-7255133.3333331756</v>
      </c>
      <c r="H14" s="479">
        <f t="shared" si="0"/>
        <v>-6561962.2599999998</v>
      </c>
      <c r="I14" s="480">
        <f t="shared" si="0"/>
        <v>-8425000</v>
      </c>
    </row>
    <row r="15" spans="1:22" x14ac:dyDescent="0.25">
      <c r="H15" s="481"/>
      <c r="I15" s="482"/>
    </row>
    <row r="16" spans="1:22" x14ac:dyDescent="0.25">
      <c r="A16" s="471" t="s">
        <v>1081</v>
      </c>
      <c r="B16" s="472" t="s">
        <v>2456</v>
      </c>
      <c r="C16" s="483" t="s">
        <v>170</v>
      </c>
      <c r="D16" s="483"/>
      <c r="E16" s="469">
        <v>-31318503.25</v>
      </c>
      <c r="F16" s="469">
        <v>-32261471.149999999</v>
      </c>
      <c r="G16" s="469">
        <f>-42400497.1335645+379000</f>
        <v>-42021497.133564502</v>
      </c>
      <c r="H16" s="474">
        <v>-35557735.280000001</v>
      </c>
      <c r="I16" s="476">
        <v>-43000000</v>
      </c>
      <c r="J16" s="105" t="s">
        <v>1742</v>
      </c>
      <c r="K16" s="470">
        <v>-4000000</v>
      </c>
      <c r="M16" s="484" t="s">
        <v>2457</v>
      </c>
      <c r="N16" s="485"/>
      <c r="O16" s="485"/>
      <c r="P16" s="485"/>
      <c r="Q16" s="485"/>
      <c r="R16" s="485"/>
      <c r="S16" s="485"/>
      <c r="T16" s="485"/>
      <c r="U16" s="485"/>
      <c r="V16" s="485"/>
    </row>
    <row r="17" spans="1:25" x14ac:dyDescent="0.25">
      <c r="A17" s="471" t="s">
        <v>1083</v>
      </c>
      <c r="B17" s="472" t="s">
        <v>2456</v>
      </c>
      <c r="C17" s="483" t="s">
        <v>172</v>
      </c>
      <c r="D17" s="483"/>
      <c r="E17" s="469">
        <v>-53936823.649999999</v>
      </c>
      <c r="F17" s="469">
        <v>-50947252.649999999</v>
      </c>
      <c r="G17" s="469">
        <f>-55999977.9092224+3541000</f>
        <v>-52458977.909222402</v>
      </c>
      <c r="H17" s="474">
        <v>-38304623.020000003</v>
      </c>
      <c r="I17" s="476">
        <v>-54600000</v>
      </c>
      <c r="J17" s="105" t="s">
        <v>1743</v>
      </c>
      <c r="K17" s="470">
        <f>-2000000-2160000</f>
        <v>-4160000</v>
      </c>
      <c r="M17" s="486" t="s">
        <v>2458</v>
      </c>
      <c r="N17" s="486"/>
      <c r="O17" s="486"/>
      <c r="P17" s="486"/>
      <c r="Q17" s="486"/>
      <c r="R17" s="486"/>
      <c r="S17" s="486"/>
      <c r="T17" s="486"/>
      <c r="U17" s="486"/>
      <c r="V17" s="486"/>
    </row>
    <row r="18" spans="1:25" x14ac:dyDescent="0.25">
      <c r="A18" s="471" t="s">
        <v>1084</v>
      </c>
      <c r="B18" s="472" t="s">
        <v>2456</v>
      </c>
      <c r="C18" s="483" t="s">
        <v>173</v>
      </c>
      <c r="D18" s="483"/>
      <c r="E18" s="469">
        <v>-666754.27</v>
      </c>
      <c r="F18" s="469">
        <v>-560141.91</v>
      </c>
      <c r="G18" s="469">
        <v>-849695.84138200001</v>
      </c>
      <c r="H18" s="474">
        <v>-567880.5</v>
      </c>
      <c r="I18" s="476">
        <v>-750000</v>
      </c>
      <c r="J18" s="105" t="s">
        <v>1701</v>
      </c>
      <c r="M18" s="486"/>
      <c r="N18" s="486"/>
      <c r="O18" s="486"/>
      <c r="P18" s="486"/>
      <c r="Q18" s="486"/>
      <c r="R18" s="486"/>
      <c r="S18" s="486"/>
      <c r="T18" s="486"/>
      <c r="U18" s="486"/>
      <c r="V18" s="486"/>
    </row>
    <row r="19" spans="1:25" x14ac:dyDescent="0.25">
      <c r="A19" s="471" t="s">
        <v>1133</v>
      </c>
      <c r="B19" s="472" t="s">
        <v>2456</v>
      </c>
      <c r="C19" s="483" t="s">
        <v>229</v>
      </c>
      <c r="D19" s="483"/>
      <c r="E19" s="469">
        <v>-9711805.3400000092</v>
      </c>
      <c r="F19" s="469">
        <v>-14402956</v>
      </c>
      <c r="G19" s="469">
        <v>-9700115.1786342803</v>
      </c>
      <c r="H19" s="474">
        <v>-10354646.74</v>
      </c>
      <c r="I19" s="476">
        <v>-12000000</v>
      </c>
      <c r="J19" s="105" t="s">
        <v>1745</v>
      </c>
      <c r="K19" s="470">
        <v>-1000000</v>
      </c>
      <c r="M19" s="486"/>
      <c r="N19" s="486"/>
      <c r="O19" s="486"/>
      <c r="P19" s="486"/>
      <c r="Q19" s="486"/>
      <c r="R19" s="486"/>
      <c r="S19" s="486"/>
      <c r="T19" s="486"/>
      <c r="U19" s="486"/>
      <c r="V19" s="486"/>
    </row>
    <row r="20" spans="1:25" x14ac:dyDescent="0.25">
      <c r="A20" s="471" t="s">
        <v>1188</v>
      </c>
      <c r="B20" s="472" t="s">
        <v>2456</v>
      </c>
      <c r="C20" s="483" t="s">
        <v>284</v>
      </c>
      <c r="D20" s="483"/>
      <c r="E20" s="469">
        <v>-851633.2</v>
      </c>
      <c r="F20" s="469">
        <v>-1306703.8</v>
      </c>
      <c r="G20" s="469">
        <v>-999832.94181564497</v>
      </c>
      <c r="H20" s="474">
        <v>-1118484</v>
      </c>
      <c r="I20" s="476">
        <v>-1200000</v>
      </c>
    </row>
    <row r="21" spans="1:25" x14ac:dyDescent="0.25">
      <c r="A21" s="471" t="s">
        <v>1322</v>
      </c>
      <c r="B21" s="472" t="s">
        <v>2456</v>
      </c>
      <c r="C21" s="483" t="s">
        <v>451</v>
      </c>
      <c r="D21" s="483"/>
      <c r="E21" s="469">
        <v>-874797.69</v>
      </c>
      <c r="F21" s="469">
        <v>-431795.34</v>
      </c>
      <c r="G21" s="469">
        <v>0</v>
      </c>
      <c r="H21" s="474">
        <v>-437569.69</v>
      </c>
      <c r="I21" s="476">
        <v>0</v>
      </c>
    </row>
    <row r="22" spans="1:25" x14ac:dyDescent="0.25">
      <c r="A22" s="471" t="s">
        <v>1604</v>
      </c>
      <c r="B22" s="472" t="s">
        <v>2456</v>
      </c>
      <c r="C22" s="483" t="s">
        <v>842</v>
      </c>
      <c r="D22" s="483"/>
      <c r="E22" s="469">
        <v>143687.91</v>
      </c>
      <c r="F22" s="469">
        <v>102908.2</v>
      </c>
      <c r="G22" s="469">
        <v>104999.99999999101</v>
      </c>
      <c r="H22" s="474">
        <v>107519.97</v>
      </c>
      <c r="I22" s="476">
        <v>105000</v>
      </c>
    </row>
    <row r="23" spans="1:25" x14ac:dyDescent="0.25">
      <c r="A23" s="471" t="s">
        <v>1605</v>
      </c>
      <c r="B23" s="472" t="s">
        <v>2456</v>
      </c>
      <c r="C23" s="483" t="s">
        <v>843</v>
      </c>
      <c r="D23" s="483"/>
      <c r="E23" s="469">
        <v>1773117.54</v>
      </c>
      <c r="F23" s="469">
        <v>1750537.99</v>
      </c>
      <c r="G23" s="469">
        <v>1949999.99999997</v>
      </c>
      <c r="H23" s="474">
        <v>1790780.49</v>
      </c>
      <c r="I23" s="476">
        <v>1950000</v>
      </c>
    </row>
    <row r="24" spans="1:25" x14ac:dyDescent="0.25">
      <c r="A24" s="471" t="s">
        <v>1606</v>
      </c>
      <c r="B24" s="472" t="s">
        <v>2456</v>
      </c>
      <c r="C24" s="483" t="s">
        <v>844</v>
      </c>
      <c r="D24" s="483"/>
      <c r="E24" s="469">
        <v>1184571.1100000001</v>
      </c>
      <c r="F24" s="469">
        <v>1536035.57</v>
      </c>
      <c r="G24" s="469">
        <v>1799999.99999999</v>
      </c>
      <c r="H24" s="474">
        <v>957572.82</v>
      </c>
      <c r="I24" s="476">
        <v>1500000</v>
      </c>
    </row>
    <row r="25" spans="1:25" x14ac:dyDescent="0.25">
      <c r="A25" s="471" t="s">
        <v>1608</v>
      </c>
      <c r="B25" s="472" t="s">
        <v>2456</v>
      </c>
      <c r="C25" s="483" t="s">
        <v>846</v>
      </c>
      <c r="D25" s="483"/>
      <c r="E25" s="469">
        <v>191790.41</v>
      </c>
      <c r="F25" s="469">
        <v>206487.92</v>
      </c>
      <c r="G25" s="469">
        <v>199999.99999998501</v>
      </c>
      <c r="H25" s="474">
        <v>152990.34</v>
      </c>
      <c r="I25" s="476">
        <v>200000</v>
      </c>
    </row>
    <row r="26" spans="1:25" x14ac:dyDescent="0.25">
      <c r="C26" s="477" t="s">
        <v>2455</v>
      </c>
      <c r="D26" s="477"/>
      <c r="E26" s="478">
        <f>SUM(E16:E25)</f>
        <v>-94067150.430000007</v>
      </c>
      <c r="F26" s="478">
        <f>SUM(F16:F25)</f>
        <v>-96314351.170000002</v>
      </c>
      <c r="G26" s="478">
        <f>SUM(G16:G25)</f>
        <v>-101975119.0046189</v>
      </c>
      <c r="H26" s="479">
        <f>SUM(H16:H25)</f>
        <v>-83332075.610000014</v>
      </c>
      <c r="I26" s="480">
        <f>SUM(I16:I25)</f>
        <v>-107795000</v>
      </c>
    </row>
    <row r="27" spans="1:25" x14ac:dyDescent="0.25">
      <c r="H27" s="481"/>
      <c r="I27" s="482"/>
    </row>
    <row r="28" spans="1:25" ht="15" customHeight="1" x14ac:dyDescent="0.25">
      <c r="A28" s="471" t="s">
        <v>1173</v>
      </c>
      <c r="B28" s="472" t="s">
        <v>2459</v>
      </c>
      <c r="C28" s="483" t="s">
        <v>270</v>
      </c>
      <c r="D28" s="483"/>
      <c r="E28" s="469">
        <v>-932233</v>
      </c>
      <c r="F28" s="469">
        <v>-731444.5</v>
      </c>
      <c r="G28" s="469">
        <v>-500000</v>
      </c>
      <c r="H28" s="474">
        <v>-1622145.6</v>
      </c>
      <c r="I28" s="476">
        <v>-500000</v>
      </c>
    </row>
    <row r="29" spans="1:25" x14ac:dyDescent="0.25">
      <c r="A29" s="471" t="s">
        <v>1202</v>
      </c>
      <c r="B29" s="472" t="s">
        <v>2459</v>
      </c>
      <c r="C29" s="483" t="s">
        <v>298</v>
      </c>
      <c r="D29" s="483"/>
      <c r="E29" s="469">
        <v>-1107335.27</v>
      </c>
      <c r="F29" s="469">
        <v>-1164135.1399999999</v>
      </c>
      <c r="G29" s="469">
        <v>-18900000</v>
      </c>
      <c r="H29" s="474">
        <v>-21852903.239999998</v>
      </c>
      <c r="I29" s="487">
        <f>-700000-1000000-1500000-700000-2000000-100000</f>
        <v>-6000000</v>
      </c>
      <c r="J29" s="488" t="s">
        <v>2460</v>
      </c>
      <c r="R29" s="489">
        <v>6000000</v>
      </c>
      <c r="S29" s="486" t="s">
        <v>2461</v>
      </c>
      <c r="T29" s="486"/>
      <c r="U29" s="486"/>
      <c r="V29" s="486"/>
      <c r="W29" s="486"/>
      <c r="X29" s="486"/>
      <c r="Y29" s="486"/>
    </row>
    <row r="30" spans="1:25" x14ac:dyDescent="0.25">
      <c r="C30" s="477" t="s">
        <v>2455</v>
      </c>
      <c r="D30" s="477"/>
      <c r="E30" s="478">
        <f>SUM(E28:E29)</f>
        <v>-2039568.27</v>
      </c>
      <c r="F30" s="478">
        <f t="shared" ref="F30:I30" si="1">SUM(F28:F29)</f>
        <v>-1895579.64</v>
      </c>
      <c r="G30" s="478">
        <f t="shared" si="1"/>
        <v>-19400000</v>
      </c>
      <c r="H30" s="479">
        <f t="shared" si="1"/>
        <v>-23475048.84</v>
      </c>
      <c r="I30" s="480">
        <f t="shared" si="1"/>
        <v>-6500000</v>
      </c>
      <c r="R30" s="490" t="s">
        <v>2462</v>
      </c>
      <c r="S30" s="486"/>
      <c r="T30" s="486"/>
      <c r="U30" s="486"/>
      <c r="V30" s="486"/>
      <c r="W30" s="486"/>
      <c r="X30" s="486"/>
      <c r="Y30" s="486"/>
    </row>
    <row r="31" spans="1:25" x14ac:dyDescent="0.25">
      <c r="H31" s="481"/>
      <c r="I31" s="482"/>
      <c r="R31" s="485"/>
      <c r="S31" s="486"/>
      <c r="T31" s="486"/>
      <c r="U31" s="486"/>
      <c r="V31" s="486"/>
      <c r="W31" s="486"/>
      <c r="X31" s="486"/>
      <c r="Y31" s="486"/>
    </row>
    <row r="32" spans="1:25" x14ac:dyDescent="0.25">
      <c r="A32" s="471" t="s">
        <v>1041</v>
      </c>
      <c r="B32" s="472" t="s">
        <v>2463</v>
      </c>
      <c r="C32" s="483" t="s">
        <v>130</v>
      </c>
      <c r="D32" s="483"/>
      <c r="E32" s="469">
        <v>-1236600.17</v>
      </c>
      <c r="F32" s="469">
        <v>-1020629.45</v>
      </c>
      <c r="G32" s="469">
        <v>-299999.999999939</v>
      </c>
      <c r="H32" s="474">
        <v>-1042322.08</v>
      </c>
      <c r="I32" s="476">
        <v>-100000</v>
      </c>
    </row>
    <row r="33" spans="1:18" x14ac:dyDescent="0.25">
      <c r="A33" s="471" t="s">
        <v>1042</v>
      </c>
      <c r="B33" s="472" t="s">
        <v>2463</v>
      </c>
      <c r="C33" s="483" t="s">
        <v>131</v>
      </c>
      <c r="D33" s="483"/>
      <c r="E33" s="469">
        <v>-8855827.8900000006</v>
      </c>
      <c r="F33" s="469">
        <v>-7500087.1900000004</v>
      </c>
      <c r="G33" s="469">
        <v>-7099999.9999997597</v>
      </c>
      <c r="H33" s="474">
        <v>-6102092.9800000004</v>
      </c>
      <c r="I33" s="476">
        <v>-7600000</v>
      </c>
      <c r="J33" s="105" t="s">
        <v>1710</v>
      </c>
      <c r="L33" s="485" t="s">
        <v>2464</v>
      </c>
      <c r="M33" s="105" t="s">
        <v>2465</v>
      </c>
    </row>
    <row r="34" spans="1:18" x14ac:dyDescent="0.25">
      <c r="A34" s="471" t="s">
        <v>1129</v>
      </c>
      <c r="B34" s="472" t="s">
        <v>2463</v>
      </c>
      <c r="C34" s="483" t="s">
        <v>225</v>
      </c>
      <c r="D34" s="483"/>
      <c r="E34" s="469">
        <v>-29564770.009999901</v>
      </c>
      <c r="F34" s="469">
        <v>-37610420.93</v>
      </c>
      <c r="G34" s="469">
        <v>-28699999.999999601</v>
      </c>
      <c r="H34" s="474">
        <v>-24058614.309999999</v>
      </c>
      <c r="I34" s="476">
        <v>-28700000</v>
      </c>
      <c r="J34" s="105" t="s">
        <v>2466</v>
      </c>
      <c r="L34" s="105">
        <f>+I34+I63</f>
        <v>-29000000</v>
      </c>
    </row>
    <row r="35" spans="1:18" x14ac:dyDescent="0.25">
      <c r="A35" s="471" t="s">
        <v>1131</v>
      </c>
      <c r="B35" s="472" t="s">
        <v>2463</v>
      </c>
      <c r="C35" s="483" t="s">
        <v>227</v>
      </c>
      <c r="D35" s="483"/>
      <c r="E35" s="469">
        <v>-7028569.2800000003</v>
      </c>
      <c r="F35" s="469">
        <v>-9425105.4800000004</v>
      </c>
      <c r="G35" s="469">
        <v>-499575.24436860101</v>
      </c>
      <c r="H35" s="491">
        <v>-11674655.48</v>
      </c>
      <c r="I35" s="492">
        <v>-500000</v>
      </c>
      <c r="J35" s="105" t="s">
        <v>2467</v>
      </c>
      <c r="L35" s="105">
        <f>+I35+I64+I65</f>
        <v>-22100000</v>
      </c>
    </row>
    <row r="36" spans="1:18" x14ac:dyDescent="0.25">
      <c r="A36" s="471" t="s">
        <v>1134</v>
      </c>
      <c r="B36" s="472" t="s">
        <v>2463</v>
      </c>
      <c r="C36" s="483" t="s">
        <v>230</v>
      </c>
      <c r="D36" s="483"/>
      <c r="E36" s="469">
        <v>-106009.19</v>
      </c>
      <c r="F36" s="469">
        <v>-107921.86</v>
      </c>
      <c r="G36" s="469">
        <v>-79999.999999987995</v>
      </c>
      <c r="H36" s="474">
        <v>-60515.13</v>
      </c>
      <c r="I36" s="476">
        <v>-700000</v>
      </c>
      <c r="J36" s="105" t="s">
        <v>1700</v>
      </c>
    </row>
    <row r="37" spans="1:18" x14ac:dyDescent="0.25">
      <c r="C37" s="477" t="s">
        <v>2455</v>
      </c>
      <c r="D37" s="477"/>
      <c r="E37" s="478">
        <f>SUM(E32:E36)</f>
        <v>-46791776.539999902</v>
      </c>
      <c r="F37" s="478">
        <f t="shared" ref="F37:I37" si="2">SUM(F32:F36)</f>
        <v>-55664164.909999996</v>
      </c>
      <c r="G37" s="478">
        <f t="shared" si="2"/>
        <v>-36679575.244367883</v>
      </c>
      <c r="H37" s="479">
        <f t="shared" si="2"/>
        <v>-42938199.979999997</v>
      </c>
      <c r="I37" s="480">
        <f t="shared" si="2"/>
        <v>-37600000</v>
      </c>
    </row>
    <row r="38" spans="1:18" x14ac:dyDescent="0.25">
      <c r="H38" s="481"/>
      <c r="I38" s="482"/>
    </row>
    <row r="39" spans="1:18" x14ac:dyDescent="0.25">
      <c r="A39" s="471" t="s">
        <v>1175</v>
      </c>
      <c r="B39" s="493" t="s">
        <v>2468</v>
      </c>
      <c r="C39" s="483" t="s">
        <v>272</v>
      </c>
      <c r="D39" s="483"/>
      <c r="E39" s="469">
        <v>-40931802.000000201</v>
      </c>
      <c r="F39" s="469">
        <v>-44541352.250000097</v>
      </c>
      <c r="G39" s="469">
        <v>-49000339.038001701</v>
      </c>
      <c r="H39" s="474">
        <v>-39600306.920000002</v>
      </c>
      <c r="I39" s="476">
        <v>-55700000</v>
      </c>
      <c r="J39" s="105" t="s">
        <v>2469</v>
      </c>
      <c r="K39" s="485" t="s">
        <v>2470</v>
      </c>
      <c r="N39" s="105" t="s">
        <v>2471</v>
      </c>
      <c r="P39" s="484" t="s">
        <v>2472</v>
      </c>
      <c r="Q39" s="484"/>
      <c r="R39" s="105"/>
    </row>
    <row r="40" spans="1:18" x14ac:dyDescent="0.25">
      <c r="A40" s="471" t="s">
        <v>1176</v>
      </c>
      <c r="B40" s="493" t="s">
        <v>2468</v>
      </c>
      <c r="C40" s="483" t="s">
        <v>273</v>
      </c>
      <c r="D40" s="483"/>
      <c r="E40" s="469">
        <v>-1306156</v>
      </c>
      <c r="F40" s="469">
        <v>-2720491</v>
      </c>
      <c r="G40" s="469">
        <v>-1500000</v>
      </c>
      <c r="H40" s="474">
        <v>-3242302.96</v>
      </c>
      <c r="I40" s="476">
        <v>-2200000</v>
      </c>
      <c r="J40" s="105" t="s">
        <v>2473</v>
      </c>
      <c r="N40" s="105" t="s">
        <v>2474</v>
      </c>
      <c r="P40" s="485" t="s">
        <v>2475</v>
      </c>
      <c r="Q40" s="485"/>
      <c r="R40" s="105">
        <v>2396000</v>
      </c>
    </row>
    <row r="41" spans="1:18" x14ac:dyDescent="0.25">
      <c r="A41" s="471" t="s">
        <v>1182</v>
      </c>
      <c r="B41" s="493" t="s">
        <v>2468</v>
      </c>
      <c r="C41" s="483" t="s">
        <v>1687</v>
      </c>
      <c r="D41" s="483"/>
      <c r="E41" s="469">
        <v>-414050</v>
      </c>
      <c r="F41" s="469">
        <v>-37619</v>
      </c>
      <c r="G41" s="469">
        <v>-50000</v>
      </c>
      <c r="H41" s="474">
        <v>0</v>
      </c>
      <c r="I41" s="476">
        <v>0</v>
      </c>
      <c r="P41" s="485" t="s">
        <v>2476</v>
      </c>
      <c r="Q41" s="485"/>
      <c r="R41" s="105">
        <v>3288765</v>
      </c>
    </row>
    <row r="42" spans="1:18" x14ac:dyDescent="0.25">
      <c r="A42" s="471" t="s">
        <v>1181</v>
      </c>
      <c r="B42" s="493" t="s">
        <v>2468</v>
      </c>
      <c r="C42" s="483" t="s">
        <v>278</v>
      </c>
      <c r="D42" s="483"/>
      <c r="E42" s="469">
        <v>0</v>
      </c>
      <c r="F42" s="469">
        <v>0</v>
      </c>
      <c r="G42" s="469">
        <v>-14081000</v>
      </c>
      <c r="H42" s="494">
        <v>0</v>
      </c>
      <c r="I42" s="476">
        <v>-38500000</v>
      </c>
      <c r="J42" s="105" t="s">
        <v>1735</v>
      </c>
      <c r="P42" s="485" t="s">
        <v>2477</v>
      </c>
      <c r="Q42" s="485"/>
      <c r="R42" s="105">
        <v>1000000</v>
      </c>
    </row>
    <row r="43" spans="1:18" x14ac:dyDescent="0.25">
      <c r="A43" s="471" t="s">
        <v>1691</v>
      </c>
      <c r="B43" s="493" t="s">
        <v>2468</v>
      </c>
      <c r="C43" s="483" t="s">
        <v>1692</v>
      </c>
      <c r="D43" s="483"/>
      <c r="E43" s="469">
        <v>0</v>
      </c>
      <c r="F43" s="469">
        <v>0</v>
      </c>
      <c r="G43" s="469">
        <v>0</v>
      </c>
      <c r="H43" s="474">
        <v>0</v>
      </c>
      <c r="I43" s="476">
        <v>-1488022.91</v>
      </c>
      <c r="P43" s="495" t="s">
        <v>2478</v>
      </c>
      <c r="Q43" s="495"/>
      <c r="R43" s="496">
        <f>+SUM(R40:R42)</f>
        <v>6684765</v>
      </c>
    </row>
    <row r="44" spans="1:18" x14ac:dyDescent="0.25">
      <c r="A44" s="471" t="s">
        <v>1203</v>
      </c>
      <c r="B44" s="493" t="s">
        <v>2468</v>
      </c>
      <c r="C44" s="483" t="s">
        <v>299</v>
      </c>
      <c r="D44" s="483"/>
      <c r="E44" s="469">
        <v>-315142</v>
      </c>
      <c r="F44" s="469">
        <v>-323739</v>
      </c>
      <c r="G44" s="469">
        <v>-1829999.99999999</v>
      </c>
      <c r="H44" s="474">
        <v>-280902.5</v>
      </c>
      <c r="I44" s="476">
        <v>-1830000</v>
      </c>
    </row>
    <row r="45" spans="1:18" x14ac:dyDescent="0.25">
      <c r="C45" s="477" t="s">
        <v>2455</v>
      </c>
      <c r="D45" s="477"/>
      <c r="E45" s="478">
        <f>SUM(E39:E44)</f>
        <v>-42967150.000000201</v>
      </c>
      <c r="F45" s="478">
        <f t="shared" ref="F45" si="3">SUM(F39:F44)</f>
        <v>-47623201.250000097</v>
      </c>
      <c r="G45" s="478">
        <f>SUM(G39:G44)</f>
        <v>-66461339.038001694</v>
      </c>
      <c r="H45" s="479">
        <f t="shared" ref="H45:I45" si="4">SUM(H39:H44)</f>
        <v>-43123512.380000003</v>
      </c>
      <c r="I45" s="480">
        <f t="shared" si="4"/>
        <v>-99718022.909999996</v>
      </c>
    </row>
    <row r="46" spans="1:18" x14ac:dyDescent="0.25">
      <c r="H46" s="481"/>
      <c r="I46" s="482"/>
    </row>
    <row r="47" spans="1:18" x14ac:dyDescent="0.25">
      <c r="A47" s="471" t="s">
        <v>1020</v>
      </c>
      <c r="B47" s="472" t="s">
        <v>2479</v>
      </c>
      <c r="C47" s="483" t="s">
        <v>112</v>
      </c>
      <c r="D47" s="483"/>
      <c r="E47" s="469">
        <v>-1074839.1399999999</v>
      </c>
      <c r="F47" s="469">
        <v>-1530055.78</v>
      </c>
      <c r="G47" s="469">
        <v>-1499979.77380611</v>
      </c>
      <c r="H47" s="474">
        <v>-1469612.73</v>
      </c>
      <c r="I47" s="476">
        <v>-1603000</v>
      </c>
    </row>
    <row r="48" spans="1:18" x14ac:dyDescent="0.25">
      <c r="A48" s="471" t="s">
        <v>1044</v>
      </c>
      <c r="B48" s="472" t="s">
        <v>2479</v>
      </c>
      <c r="C48" s="483" t="s">
        <v>133</v>
      </c>
      <c r="D48" s="483"/>
      <c r="E48" s="469">
        <v>-504853.28999999899</v>
      </c>
      <c r="F48" s="469">
        <v>-634431.09999999905</v>
      </c>
      <c r="G48" s="469">
        <v>-599647.20608354697</v>
      </c>
      <c r="H48" s="474">
        <v>-615703.68999999901</v>
      </c>
      <c r="I48" s="476">
        <v>-700000</v>
      </c>
      <c r="J48" s="105" t="s">
        <v>1738</v>
      </c>
    </row>
    <row r="49" spans="1:21" x14ac:dyDescent="0.25">
      <c r="A49" s="471" t="s">
        <v>1132</v>
      </c>
      <c r="B49" s="472" t="s">
        <v>2479</v>
      </c>
      <c r="C49" s="483" t="s">
        <v>228</v>
      </c>
      <c r="D49" s="483"/>
      <c r="E49" s="469">
        <v>-13436472.689999999</v>
      </c>
      <c r="F49" s="469">
        <v>-13023648.689999999</v>
      </c>
      <c r="G49" s="469">
        <v>-36555337.381816</v>
      </c>
      <c r="H49" s="474">
        <v>-20129123.870000001</v>
      </c>
      <c r="I49" s="497">
        <v>-20570000</v>
      </c>
      <c r="J49" s="485" t="s">
        <v>2480</v>
      </c>
      <c r="K49" s="470">
        <v>-6000000</v>
      </c>
    </row>
    <row r="50" spans="1:21" x14ac:dyDescent="0.25">
      <c r="C50" s="477" t="s">
        <v>2455</v>
      </c>
      <c r="D50" s="477"/>
      <c r="E50" s="478">
        <f>SUM(E47:E49)</f>
        <v>-15016165.119999997</v>
      </c>
      <c r="F50" s="478">
        <f t="shared" ref="F50:I50" si="5">SUM(F47:F49)</f>
        <v>-15188135.569999998</v>
      </c>
      <c r="G50" s="478">
        <f t="shared" si="5"/>
        <v>-38654964.361705653</v>
      </c>
      <c r="H50" s="479">
        <f t="shared" si="5"/>
        <v>-22214440.289999999</v>
      </c>
      <c r="I50" s="480">
        <f t="shared" si="5"/>
        <v>-22873000</v>
      </c>
    </row>
    <row r="51" spans="1:21" x14ac:dyDescent="0.25">
      <c r="H51" s="481"/>
      <c r="I51" s="482"/>
      <c r="L51" s="485" t="s">
        <v>2464</v>
      </c>
    </row>
    <row r="52" spans="1:21" x14ac:dyDescent="0.25">
      <c r="A52" s="471" t="s">
        <v>1189</v>
      </c>
      <c r="B52" s="472" t="s">
        <v>2481</v>
      </c>
      <c r="C52" s="483" t="s">
        <v>285</v>
      </c>
      <c r="D52" s="483"/>
      <c r="E52" s="469">
        <v>-20860103.920000002</v>
      </c>
      <c r="F52" s="469">
        <v>-20423598.649999999</v>
      </c>
      <c r="G52" s="469">
        <v>-19999999.9999994</v>
      </c>
      <c r="H52" s="494">
        <v>-16302338.68</v>
      </c>
      <c r="I52" s="476">
        <v>-20000000</v>
      </c>
      <c r="J52" s="105" t="s">
        <v>2482</v>
      </c>
      <c r="K52" s="470">
        <v>-2000000</v>
      </c>
      <c r="L52" s="105">
        <f>+I52+I73</f>
        <v>-22200000</v>
      </c>
    </row>
    <row r="53" spans="1:21" x14ac:dyDescent="0.25">
      <c r="A53" s="471" t="s">
        <v>1194</v>
      </c>
      <c r="B53" s="472" t="s">
        <v>2481</v>
      </c>
      <c r="C53" s="483" t="s">
        <v>290</v>
      </c>
      <c r="D53" s="483"/>
      <c r="E53" s="469">
        <v>-3273622.94</v>
      </c>
      <c r="F53" s="469">
        <v>-4100118.37</v>
      </c>
      <c r="G53" s="469">
        <v>-3969999.9999998002</v>
      </c>
      <c r="H53" s="494">
        <v>-3457974.39</v>
      </c>
      <c r="I53" s="476">
        <v>-4290000</v>
      </c>
      <c r="J53" s="104"/>
      <c r="L53" s="105"/>
    </row>
    <row r="54" spans="1:21" x14ac:dyDescent="0.25">
      <c r="A54" s="471" t="s">
        <v>1195</v>
      </c>
      <c r="B54" s="472" t="s">
        <v>2481</v>
      </c>
      <c r="C54" s="483" t="s">
        <v>291</v>
      </c>
      <c r="D54" s="483"/>
      <c r="E54" s="469">
        <v>-29732296.989999998</v>
      </c>
      <c r="F54" s="469">
        <v>-32725622.690000001</v>
      </c>
      <c r="G54" s="469">
        <v>-34379999.999999397</v>
      </c>
      <c r="H54" s="494">
        <v>-33596464.479999997</v>
      </c>
      <c r="I54" s="476">
        <v>-35572000</v>
      </c>
      <c r="J54" s="105" t="s">
        <v>2483</v>
      </c>
      <c r="K54" s="470">
        <v>-3000000</v>
      </c>
      <c r="L54" s="105">
        <f>+I54+I72</f>
        <v>-40072000</v>
      </c>
    </row>
    <row r="55" spans="1:21" x14ac:dyDescent="0.25">
      <c r="A55" s="471" t="s">
        <v>1196</v>
      </c>
      <c r="B55" s="472" t="s">
        <v>2481</v>
      </c>
      <c r="C55" s="483" t="s">
        <v>292</v>
      </c>
      <c r="D55" s="483"/>
      <c r="E55" s="469">
        <v>-213146.59</v>
      </c>
      <c r="F55" s="469">
        <v>-76728.759999999995</v>
      </c>
      <c r="G55" s="469">
        <v>-499999.99999997998</v>
      </c>
      <c r="H55" s="494">
        <v>-76604.75</v>
      </c>
      <c r="I55" s="476">
        <v>-100000</v>
      </c>
      <c r="J55" s="104"/>
    </row>
    <row r="56" spans="1:21" x14ac:dyDescent="0.25">
      <c r="C56" s="477" t="s">
        <v>2455</v>
      </c>
      <c r="D56" s="477"/>
      <c r="E56" s="478">
        <f>SUM(E52:E55)</f>
        <v>-54079170.440000005</v>
      </c>
      <c r="F56" s="478">
        <f t="shared" ref="F56:I56" si="6">SUM(F52:F55)</f>
        <v>-57326068.469999999</v>
      </c>
      <c r="G56" s="478">
        <f t="shared" si="6"/>
        <v>-58849999.999998577</v>
      </c>
      <c r="H56" s="479">
        <f t="shared" si="6"/>
        <v>-53433382.299999997</v>
      </c>
      <c r="I56" s="480">
        <f t="shared" si="6"/>
        <v>-59962000</v>
      </c>
    </row>
    <row r="57" spans="1:21" x14ac:dyDescent="0.25">
      <c r="H57" s="481"/>
      <c r="I57" s="482"/>
    </row>
    <row r="58" spans="1:21" x14ac:dyDescent="0.25">
      <c r="A58" s="471" t="s">
        <v>950</v>
      </c>
      <c r="B58" s="498" t="s">
        <v>2484</v>
      </c>
      <c r="C58" s="483" t="s">
        <v>44</v>
      </c>
      <c r="D58" s="483"/>
      <c r="E58" s="469">
        <v>-5771419.3200000003</v>
      </c>
      <c r="F58" s="469">
        <v>-5288612.3299999898</v>
      </c>
      <c r="G58" s="469">
        <v>-5977011.3616224304</v>
      </c>
      <c r="H58" s="474">
        <v>-4765962.83</v>
      </c>
      <c r="I58" s="476">
        <v>-6370387</v>
      </c>
      <c r="J58" s="469"/>
    </row>
    <row r="59" spans="1:21" x14ac:dyDescent="0.25">
      <c r="A59" s="471" t="s">
        <v>1033</v>
      </c>
      <c r="B59" s="498" t="s">
        <v>2484</v>
      </c>
      <c r="C59" s="483" t="s">
        <v>125</v>
      </c>
      <c r="D59" s="483"/>
      <c r="E59" s="469">
        <v>-1388594.84</v>
      </c>
      <c r="F59" s="469">
        <v>-1440965.31</v>
      </c>
      <c r="G59" s="469">
        <v>-1480000</v>
      </c>
      <c r="H59" s="474">
        <v>-1371936.15</v>
      </c>
      <c r="I59" s="476">
        <v>-1620000</v>
      </c>
      <c r="J59" s="104"/>
    </row>
    <row r="60" spans="1:21" x14ac:dyDescent="0.25">
      <c r="A60" s="471" t="s">
        <v>1046</v>
      </c>
      <c r="B60" s="498" t="s">
        <v>2484</v>
      </c>
      <c r="C60" s="483" t="s">
        <v>1678</v>
      </c>
      <c r="D60" s="483"/>
      <c r="E60" s="469">
        <v>0</v>
      </c>
      <c r="F60" s="469">
        <v>0</v>
      </c>
      <c r="G60" s="469">
        <v>-699999.99999993597</v>
      </c>
      <c r="H60" s="494">
        <v>0</v>
      </c>
      <c r="I60" s="476">
        <v>-900000</v>
      </c>
      <c r="J60" s="105" t="s">
        <v>1724</v>
      </c>
    </row>
    <row r="61" spans="1:21" x14ac:dyDescent="0.25">
      <c r="A61" s="471" t="s">
        <v>1082</v>
      </c>
      <c r="B61" s="498" t="s">
        <v>2484</v>
      </c>
      <c r="C61" s="483" t="s">
        <v>171</v>
      </c>
      <c r="D61" s="483"/>
      <c r="E61" s="469">
        <v>-16128681</v>
      </c>
      <c r="F61" s="469">
        <v>-18042620</v>
      </c>
      <c r="G61" s="469">
        <f>-17750079.3416158+789000</f>
        <v>-16961079.3416158</v>
      </c>
      <c r="H61" s="474">
        <v>-13734731</v>
      </c>
      <c r="I61" s="476">
        <v>-17350000</v>
      </c>
      <c r="J61" s="105" t="s">
        <v>1744</v>
      </c>
      <c r="L61" s="484" t="s">
        <v>2485</v>
      </c>
    </row>
    <row r="62" spans="1:21" x14ac:dyDescent="0.25">
      <c r="A62" s="471" t="s">
        <v>1136</v>
      </c>
      <c r="B62" s="498" t="s">
        <v>2484</v>
      </c>
      <c r="C62" s="483" t="s">
        <v>232</v>
      </c>
      <c r="D62" s="483"/>
      <c r="E62" s="469">
        <v>-207846.65</v>
      </c>
      <c r="F62" s="469">
        <v>-499596.47</v>
      </c>
      <c r="G62" s="469">
        <v>-349999.99999999499</v>
      </c>
      <c r="H62" s="474">
        <v>-396012.79</v>
      </c>
      <c r="I62" s="476">
        <v>-1500000</v>
      </c>
      <c r="J62" s="105" t="s">
        <v>1702</v>
      </c>
      <c r="L62" s="499" t="s">
        <v>2486</v>
      </c>
      <c r="M62" s="486"/>
      <c r="N62" s="486"/>
      <c r="O62" s="486"/>
      <c r="P62" s="486"/>
      <c r="Q62" s="486"/>
      <c r="R62" s="500"/>
      <c r="S62" s="500"/>
      <c r="T62" s="500"/>
      <c r="U62" s="500"/>
    </row>
    <row r="63" spans="1:21" x14ac:dyDescent="0.25">
      <c r="A63" s="471" t="s">
        <v>1139</v>
      </c>
      <c r="B63" s="498" t="s">
        <v>2484</v>
      </c>
      <c r="C63" s="483" t="s">
        <v>1679</v>
      </c>
      <c r="D63" s="483"/>
      <c r="E63" s="469">
        <v>0</v>
      </c>
      <c r="F63" s="469">
        <v>0</v>
      </c>
      <c r="G63" s="469">
        <v>-299999.99999957101</v>
      </c>
      <c r="H63" s="494">
        <v>0</v>
      </c>
      <c r="I63" s="476">
        <v>-300000</v>
      </c>
      <c r="J63" s="105" t="s">
        <v>1725</v>
      </c>
      <c r="L63" s="499" t="s">
        <v>2487</v>
      </c>
      <c r="M63" s="486"/>
      <c r="N63" s="486"/>
      <c r="O63" s="486"/>
      <c r="P63" s="486"/>
      <c r="Q63" s="486"/>
      <c r="R63" s="486"/>
      <c r="S63" s="486"/>
      <c r="T63" s="486"/>
      <c r="U63" s="486"/>
    </row>
    <row r="64" spans="1:21" x14ac:dyDescent="0.25">
      <c r="A64" s="471" t="s">
        <v>1140</v>
      </c>
      <c r="B64" s="498" t="s">
        <v>2484</v>
      </c>
      <c r="C64" s="483" t="s">
        <v>1680</v>
      </c>
      <c r="D64" s="483"/>
      <c r="E64" s="469">
        <v>0</v>
      </c>
      <c r="F64" s="469">
        <v>0</v>
      </c>
      <c r="G64" s="469">
        <v>-7399631.9180194195</v>
      </c>
      <c r="H64" s="494">
        <v>0</v>
      </c>
      <c r="I64" s="476">
        <v>-18100000</v>
      </c>
      <c r="J64" s="105" t="s">
        <v>2488</v>
      </c>
      <c r="L64" s="499" t="s">
        <v>2489</v>
      </c>
      <c r="M64" s="486"/>
      <c r="N64" s="486"/>
      <c r="O64" s="486"/>
      <c r="P64" s="486"/>
      <c r="Q64" s="486"/>
      <c r="R64" s="486"/>
      <c r="S64" s="486"/>
      <c r="T64" s="486"/>
      <c r="U64" s="486"/>
    </row>
    <row r="65" spans="1:21" x14ac:dyDescent="0.25">
      <c r="A65" s="471" t="s">
        <v>1141</v>
      </c>
      <c r="B65" s="498" t="s">
        <v>2484</v>
      </c>
      <c r="C65" s="483" t="s">
        <v>1681</v>
      </c>
      <c r="D65" s="483"/>
      <c r="E65" s="469">
        <v>0</v>
      </c>
      <c r="F65" s="469">
        <v>0</v>
      </c>
      <c r="G65" s="469">
        <v>-2399880.6220601299</v>
      </c>
      <c r="H65" s="474">
        <v>-209809.29</v>
      </c>
      <c r="I65" s="476">
        <v>-3500000</v>
      </c>
      <c r="J65" s="104"/>
      <c r="K65" s="470">
        <v>-1000000</v>
      </c>
      <c r="L65" s="499" t="s">
        <v>2490</v>
      </c>
      <c r="M65" s="486"/>
      <c r="N65" s="486"/>
      <c r="O65" s="486"/>
      <c r="P65" s="486"/>
      <c r="Q65" s="486"/>
      <c r="R65" s="486"/>
      <c r="S65" s="486"/>
      <c r="T65" s="486"/>
      <c r="U65" s="486"/>
    </row>
    <row r="66" spans="1:21" x14ac:dyDescent="0.25">
      <c r="A66" s="471" t="s">
        <v>1170</v>
      </c>
      <c r="B66" s="498" t="s">
        <v>2484</v>
      </c>
      <c r="C66" s="483" t="s">
        <v>267</v>
      </c>
      <c r="D66" s="483"/>
      <c r="E66" s="469">
        <v>-1674285.9300000099</v>
      </c>
      <c r="F66" s="469">
        <v>-1710616.1300000099</v>
      </c>
      <c r="G66" s="469">
        <v>-1799999.99999977</v>
      </c>
      <c r="H66" s="474">
        <v>-1775061.72</v>
      </c>
      <c r="I66" s="476">
        <v>-1920000</v>
      </c>
      <c r="J66" s="104"/>
      <c r="L66" s="499" t="s">
        <v>2491</v>
      </c>
      <c r="M66" s="486"/>
      <c r="N66" s="486"/>
      <c r="O66" s="486"/>
      <c r="P66" s="486"/>
      <c r="Q66" s="486"/>
      <c r="R66" s="486"/>
      <c r="S66" s="486"/>
      <c r="T66" s="486"/>
      <c r="U66" s="486"/>
    </row>
    <row r="67" spans="1:21" x14ac:dyDescent="0.25">
      <c r="A67" s="471" t="s">
        <v>1177</v>
      </c>
      <c r="B67" s="498" t="s">
        <v>2484</v>
      </c>
      <c r="C67" s="483" t="s">
        <v>274</v>
      </c>
      <c r="D67" s="483"/>
      <c r="E67" s="469">
        <v>-357833.4</v>
      </c>
      <c r="F67" s="469">
        <v>-398469.6</v>
      </c>
      <c r="G67" s="469">
        <v>-399762.74951735197</v>
      </c>
      <c r="H67" s="474">
        <v>-400796.2</v>
      </c>
      <c r="I67" s="476">
        <v>-460000</v>
      </c>
      <c r="J67" s="104"/>
    </row>
    <row r="68" spans="1:21" x14ac:dyDescent="0.25">
      <c r="A68" s="471" t="s">
        <v>1178</v>
      </c>
      <c r="B68" s="498" t="s">
        <v>2484</v>
      </c>
      <c r="C68" s="483" t="s">
        <v>275</v>
      </c>
      <c r="D68" s="483"/>
      <c r="E68" s="469">
        <v>-8676197.0000000093</v>
      </c>
      <c r="F68" s="469">
        <v>-8191317.0000000102</v>
      </c>
      <c r="G68" s="469">
        <v>-8499537.3121738005</v>
      </c>
      <c r="H68" s="474">
        <v>-7022693.0200000098</v>
      </c>
      <c r="I68" s="476">
        <v>-9000000</v>
      </c>
      <c r="J68" s="105" t="s">
        <v>1703</v>
      </c>
      <c r="K68" s="470">
        <v>-500000</v>
      </c>
    </row>
    <row r="69" spans="1:21" x14ac:dyDescent="0.25">
      <c r="A69" s="471" t="s">
        <v>1179</v>
      </c>
      <c r="B69" s="498" t="s">
        <v>2484</v>
      </c>
      <c r="C69" s="483" t="s">
        <v>276</v>
      </c>
      <c r="D69" s="483"/>
      <c r="E69" s="469">
        <v>-67561.2</v>
      </c>
      <c r="F69" s="469">
        <v>-79893.2</v>
      </c>
      <c r="G69" s="469">
        <v>-74999.999999991996</v>
      </c>
      <c r="H69" s="474">
        <v>-52334.65</v>
      </c>
      <c r="I69" s="476">
        <v>-75000</v>
      </c>
      <c r="J69" s="104"/>
    </row>
    <row r="70" spans="1:21" x14ac:dyDescent="0.25">
      <c r="A70" s="471" t="s">
        <v>1180</v>
      </c>
      <c r="B70" s="498" t="s">
        <v>2484</v>
      </c>
      <c r="C70" s="483" t="s">
        <v>277</v>
      </c>
      <c r="D70" s="483"/>
      <c r="E70" s="469">
        <v>-274789.40000000002</v>
      </c>
      <c r="F70" s="469">
        <v>-214710</v>
      </c>
      <c r="G70" s="469">
        <v>-1100000</v>
      </c>
      <c r="H70" s="474">
        <v>-787629.75</v>
      </c>
      <c r="I70" s="476">
        <v>-1500000</v>
      </c>
      <c r="J70" s="105" t="s">
        <v>1702</v>
      </c>
      <c r="K70" s="470">
        <v>-500000</v>
      </c>
    </row>
    <row r="71" spans="1:21" x14ac:dyDescent="0.25">
      <c r="A71" s="471" t="s">
        <v>1191</v>
      </c>
      <c r="B71" s="498" t="s">
        <v>2484</v>
      </c>
      <c r="C71" s="483" t="s">
        <v>287</v>
      </c>
      <c r="D71" s="483"/>
      <c r="E71" s="469">
        <v>-98868.22</v>
      </c>
      <c r="F71" s="469">
        <v>-278119</v>
      </c>
      <c r="G71" s="469">
        <v>-249999.999999989</v>
      </c>
      <c r="H71" s="474">
        <v>-188768.18</v>
      </c>
      <c r="I71" s="476">
        <v>-350000</v>
      </c>
      <c r="J71" s="104"/>
    </row>
    <row r="72" spans="1:21" x14ac:dyDescent="0.25">
      <c r="A72" s="471" t="s">
        <v>1650</v>
      </c>
      <c r="B72" s="498" t="s">
        <v>2484</v>
      </c>
      <c r="C72" s="483" t="s">
        <v>1652</v>
      </c>
      <c r="D72" s="483"/>
      <c r="E72" s="469"/>
      <c r="F72" s="469"/>
      <c r="G72" s="469"/>
      <c r="H72" s="494">
        <v>0</v>
      </c>
      <c r="I72" s="497">
        <v>-4500000</v>
      </c>
      <c r="J72" s="105" t="s">
        <v>1723</v>
      </c>
    </row>
    <row r="73" spans="1:21" x14ac:dyDescent="0.25">
      <c r="A73" s="471" t="s">
        <v>1651</v>
      </c>
      <c r="B73" s="498" t="s">
        <v>2484</v>
      </c>
      <c r="C73" s="483" t="s">
        <v>1653</v>
      </c>
      <c r="D73" s="483"/>
      <c r="E73" s="469"/>
      <c r="F73" s="469"/>
      <c r="G73" s="469"/>
      <c r="H73" s="494">
        <v>0</v>
      </c>
      <c r="I73" s="497">
        <v>-2200000</v>
      </c>
      <c r="J73" s="105" t="s">
        <v>1722</v>
      </c>
    </row>
    <row r="74" spans="1:21" x14ac:dyDescent="0.25">
      <c r="A74" s="471" t="s">
        <v>1551</v>
      </c>
      <c r="B74" s="498" t="s">
        <v>2484</v>
      </c>
      <c r="C74" s="483" t="s">
        <v>783</v>
      </c>
      <c r="D74" s="483"/>
      <c r="E74" s="469">
        <v>38727.699999999997</v>
      </c>
      <c r="F74" s="469">
        <v>82455.600000000006</v>
      </c>
      <c r="G74" s="469">
        <v>19999.999999994001</v>
      </c>
      <c r="H74" s="474">
        <v>95726</v>
      </c>
      <c r="I74" s="476">
        <v>20000</v>
      </c>
      <c r="J74" s="104"/>
    </row>
    <row r="75" spans="1:21" x14ac:dyDescent="0.25">
      <c r="A75" s="471" t="s">
        <v>1607</v>
      </c>
      <c r="B75" s="498" t="s">
        <v>2484</v>
      </c>
      <c r="C75" s="483" t="s">
        <v>845</v>
      </c>
      <c r="D75" s="483"/>
      <c r="E75" s="469">
        <v>663134.14</v>
      </c>
      <c r="F75" s="469">
        <v>893514.08</v>
      </c>
      <c r="G75" s="469">
        <v>989999.99999997194</v>
      </c>
      <c r="H75" s="474">
        <v>734621.22</v>
      </c>
      <c r="I75" s="476">
        <v>990000</v>
      </c>
      <c r="J75" s="104"/>
    </row>
    <row r="76" spans="1:21" x14ac:dyDescent="0.25">
      <c r="C76" s="501" t="s">
        <v>2455</v>
      </c>
      <c r="D76" s="501"/>
      <c r="E76" s="502">
        <f>SUM(E58:E75)</f>
        <v>-33944215.120000012</v>
      </c>
      <c r="F76" s="502">
        <f t="shared" ref="F76:I76" si="7">SUM(F58:F75)</f>
        <v>-35168949.360000014</v>
      </c>
      <c r="G76" s="502">
        <f t="shared" si="7"/>
        <v>-46681903.305008225</v>
      </c>
      <c r="H76" s="503">
        <f t="shared" si="7"/>
        <v>-29875388.360000007</v>
      </c>
      <c r="I76" s="504">
        <f t="shared" si="7"/>
        <v>-68635387</v>
      </c>
    </row>
    <row r="77" spans="1:21" x14ac:dyDescent="0.25">
      <c r="H77" s="481"/>
      <c r="I77" s="482"/>
    </row>
    <row r="78" spans="1:21" x14ac:dyDescent="0.25">
      <c r="A78" s="471" t="s">
        <v>1022</v>
      </c>
      <c r="B78" s="493" t="s">
        <v>2492</v>
      </c>
      <c r="C78" s="483" t="s">
        <v>114</v>
      </c>
      <c r="D78" s="483"/>
      <c r="E78" s="469">
        <v>-316206.67</v>
      </c>
      <c r="F78" s="469">
        <v>-307104.88</v>
      </c>
      <c r="G78" s="469">
        <v>-300000</v>
      </c>
      <c r="H78" s="474">
        <v>-94050.08</v>
      </c>
      <c r="I78" s="476">
        <v>-150000</v>
      </c>
    </row>
    <row r="79" spans="1:21" x14ac:dyDescent="0.25">
      <c r="A79" s="471" t="s">
        <v>1023</v>
      </c>
      <c r="B79" s="493" t="s">
        <v>2492</v>
      </c>
      <c r="C79" s="483" t="s">
        <v>115</v>
      </c>
      <c r="D79" s="483"/>
      <c r="E79" s="469">
        <v>-869138.85</v>
      </c>
      <c r="F79" s="469">
        <v>-1192111.68</v>
      </c>
      <c r="G79" s="469">
        <v>-2100000</v>
      </c>
      <c r="H79" s="474">
        <v>-1202826.74</v>
      </c>
      <c r="I79" s="476">
        <v>-2186000</v>
      </c>
    </row>
    <row r="80" spans="1:21" x14ac:dyDescent="0.25">
      <c r="A80" s="471" t="s">
        <v>1024</v>
      </c>
      <c r="B80" s="493" t="s">
        <v>2492</v>
      </c>
      <c r="C80" s="483" t="s">
        <v>116</v>
      </c>
      <c r="D80" s="483"/>
      <c r="E80" s="469">
        <v>-192923.83</v>
      </c>
      <c r="F80" s="469">
        <v>-166275.57999999999</v>
      </c>
      <c r="G80" s="469">
        <v>-150000</v>
      </c>
      <c r="H80" s="474">
        <v>-163098.53</v>
      </c>
      <c r="I80" s="476">
        <v>-200000</v>
      </c>
    </row>
    <row r="81" spans="1:14" x14ac:dyDescent="0.25">
      <c r="A81" s="471" t="s">
        <v>1028</v>
      </c>
      <c r="B81" s="493" t="s">
        <v>2492</v>
      </c>
      <c r="C81" s="483" t="s">
        <v>120</v>
      </c>
      <c r="D81" s="483"/>
      <c r="E81" s="469">
        <v>-740884.46</v>
      </c>
      <c r="F81" s="469">
        <v>-579770.76</v>
      </c>
      <c r="G81" s="469">
        <v>-399999.99999999598</v>
      </c>
      <c r="H81" s="474">
        <v>-316591.57</v>
      </c>
      <c r="I81" s="476">
        <v>-450000</v>
      </c>
    </row>
    <row r="82" spans="1:14" x14ac:dyDescent="0.25">
      <c r="A82" s="471" t="s">
        <v>1029</v>
      </c>
      <c r="B82" s="493" t="s">
        <v>2492</v>
      </c>
      <c r="C82" s="483" t="s">
        <v>121</v>
      </c>
      <c r="D82" s="483"/>
      <c r="E82" s="469">
        <v>-244487.8</v>
      </c>
      <c r="F82" s="469">
        <v>-612253.15</v>
      </c>
      <c r="G82" s="469">
        <v>-450000</v>
      </c>
      <c r="H82" s="474">
        <v>-261792.03</v>
      </c>
      <c r="I82" s="476">
        <v>-300000</v>
      </c>
    </row>
    <row r="83" spans="1:14" x14ac:dyDescent="0.25">
      <c r="A83" s="471" t="s">
        <v>1030</v>
      </c>
      <c r="B83" s="493" t="s">
        <v>2492</v>
      </c>
      <c r="C83" s="483" t="s">
        <v>122</v>
      </c>
      <c r="D83" s="483"/>
      <c r="E83" s="469">
        <v>-41235.96</v>
      </c>
      <c r="F83" s="469">
        <v>-123444.04</v>
      </c>
      <c r="G83" s="469">
        <v>-99999.999999972002</v>
      </c>
      <c r="H83" s="474">
        <v>-51064</v>
      </c>
      <c r="I83" s="476">
        <v>-120000</v>
      </c>
    </row>
    <row r="84" spans="1:14" x14ac:dyDescent="0.25">
      <c r="A84" s="471" t="s">
        <v>1031</v>
      </c>
      <c r="B84" s="493" t="s">
        <v>2492</v>
      </c>
      <c r="C84" s="483" t="s">
        <v>123</v>
      </c>
      <c r="D84" s="483"/>
      <c r="E84" s="469">
        <v>-139102.19</v>
      </c>
      <c r="F84" s="469">
        <v>-166962.64000000001</v>
      </c>
      <c r="G84" s="469">
        <v>-180000</v>
      </c>
      <c r="H84" s="474">
        <v>-148938.88</v>
      </c>
      <c r="I84" s="476">
        <v>-180000</v>
      </c>
    </row>
    <row r="85" spans="1:14" x14ac:dyDescent="0.25">
      <c r="A85" s="471" t="s">
        <v>1034</v>
      </c>
      <c r="B85" s="493" t="s">
        <v>2492</v>
      </c>
      <c r="C85" s="483" t="s">
        <v>1677</v>
      </c>
      <c r="D85" s="483"/>
      <c r="E85" s="469">
        <v>-599</v>
      </c>
      <c r="F85" s="469">
        <v>-1710</v>
      </c>
      <c r="G85" s="469">
        <v>-4999.999999996</v>
      </c>
      <c r="H85" s="474">
        <v>-1890</v>
      </c>
      <c r="I85" s="476">
        <v>0</v>
      </c>
      <c r="J85" s="485" t="s">
        <v>2493</v>
      </c>
    </row>
    <row r="86" spans="1:14" x14ac:dyDescent="0.25">
      <c r="A86" s="471" t="s">
        <v>1039</v>
      </c>
      <c r="B86" s="493" t="s">
        <v>2492</v>
      </c>
      <c r="C86" s="483" t="s">
        <v>128</v>
      </c>
      <c r="D86" s="483"/>
      <c r="E86" s="469">
        <v>-226270.35</v>
      </c>
      <c r="F86" s="469">
        <v>-169543.03</v>
      </c>
      <c r="G86" s="469">
        <v>-139999.999999992</v>
      </c>
      <c r="H86" s="474">
        <v>-176024.26</v>
      </c>
      <c r="I86" s="476">
        <v>0</v>
      </c>
      <c r="J86" s="485" t="s">
        <v>2493</v>
      </c>
    </row>
    <row r="87" spans="1:14" x14ac:dyDescent="0.25">
      <c r="A87" s="471" t="s">
        <v>1051</v>
      </c>
      <c r="B87" s="493" t="s">
        <v>2492</v>
      </c>
      <c r="C87" s="483" t="s">
        <v>139</v>
      </c>
      <c r="D87" s="483"/>
      <c r="E87" s="469">
        <v>-2592689.21999999</v>
      </c>
      <c r="F87" s="469">
        <v>-3654037.6600000099</v>
      </c>
      <c r="G87" s="469">
        <v>-2900000.0000000098</v>
      </c>
      <c r="H87" s="474">
        <v>-1806052.81</v>
      </c>
      <c r="I87" s="476">
        <v>-1000000</v>
      </c>
      <c r="J87" s="105" t="s">
        <v>1698</v>
      </c>
    </row>
    <row r="88" spans="1:14" x14ac:dyDescent="0.25">
      <c r="A88" s="471" t="s">
        <v>1052</v>
      </c>
      <c r="B88" s="493" t="s">
        <v>2492</v>
      </c>
      <c r="C88" s="483" t="s">
        <v>140</v>
      </c>
      <c r="D88" s="483"/>
      <c r="E88" s="469">
        <v>-94187.940000000104</v>
      </c>
      <c r="F88" s="469">
        <v>-65961.8</v>
      </c>
      <c r="G88" s="469">
        <v>-63999.999999995998</v>
      </c>
      <c r="H88" s="474">
        <v>-106253.85</v>
      </c>
      <c r="I88" s="476">
        <v>-125000</v>
      </c>
    </row>
    <row r="89" spans="1:14" x14ac:dyDescent="0.25">
      <c r="A89" s="471" t="s">
        <v>1054</v>
      </c>
      <c r="B89" s="493" t="s">
        <v>2492</v>
      </c>
      <c r="C89" s="483" t="s">
        <v>141</v>
      </c>
      <c r="D89" s="483"/>
      <c r="E89" s="469">
        <v>-190794.35</v>
      </c>
      <c r="F89" s="469">
        <v>-2203147.31</v>
      </c>
      <c r="G89" s="469">
        <v>-1524000</v>
      </c>
      <c r="H89" s="474">
        <v>-376132.27</v>
      </c>
      <c r="I89" s="476">
        <v>-250000</v>
      </c>
      <c r="J89" s="105" t="s">
        <v>2494</v>
      </c>
    </row>
    <row r="90" spans="1:14" x14ac:dyDescent="0.25">
      <c r="A90" s="471" t="s">
        <v>1412</v>
      </c>
      <c r="B90" s="493" t="s">
        <v>2492</v>
      </c>
      <c r="C90" s="483" t="s">
        <v>553</v>
      </c>
      <c r="D90" s="483"/>
      <c r="E90" s="469">
        <v>-655057.78</v>
      </c>
      <c r="F90" s="469">
        <v>-783461</v>
      </c>
      <c r="G90" s="469">
        <v>-859999.99999995704</v>
      </c>
      <c r="H90" s="474">
        <v>-805966.77</v>
      </c>
      <c r="I90" s="476">
        <v>-860000</v>
      </c>
      <c r="J90" s="105" t="s">
        <v>1697</v>
      </c>
    </row>
    <row r="91" spans="1:14" x14ac:dyDescent="0.25">
      <c r="A91" s="471" t="s">
        <v>1413</v>
      </c>
      <c r="B91" s="493" t="s">
        <v>2492</v>
      </c>
      <c r="C91" s="483" t="s">
        <v>554</v>
      </c>
      <c r="D91" s="483"/>
      <c r="E91" s="469">
        <v>-491485.45</v>
      </c>
      <c r="F91" s="469">
        <v>-333203.27</v>
      </c>
      <c r="G91" s="469">
        <v>-479999.99999995198</v>
      </c>
      <c r="H91" s="474">
        <v>-359991.01</v>
      </c>
      <c r="I91" s="476">
        <v>-510000</v>
      </c>
    </row>
    <row r="92" spans="1:14" x14ac:dyDescent="0.25">
      <c r="A92" s="471" t="s">
        <v>1414</v>
      </c>
      <c r="B92" s="493" t="s">
        <v>2492</v>
      </c>
      <c r="C92" s="483" t="s">
        <v>555</v>
      </c>
      <c r="D92" s="483"/>
      <c r="E92" s="469">
        <v>-100096.38</v>
      </c>
      <c r="F92" s="469">
        <v>-214434.94</v>
      </c>
      <c r="G92" s="469">
        <v>-204999.99999999601</v>
      </c>
      <c r="H92" s="474">
        <v>-122518.52</v>
      </c>
      <c r="I92" s="476">
        <v>-200000</v>
      </c>
    </row>
    <row r="93" spans="1:14" x14ac:dyDescent="0.25">
      <c r="A93" s="471" t="s">
        <v>1415</v>
      </c>
      <c r="B93" s="493" t="s">
        <v>2492</v>
      </c>
      <c r="C93" s="483" t="s">
        <v>556</v>
      </c>
      <c r="D93" s="483"/>
      <c r="E93" s="469">
        <v>-2275385.64</v>
      </c>
      <c r="F93" s="469">
        <v>-196668.56</v>
      </c>
      <c r="G93" s="469">
        <v>0</v>
      </c>
      <c r="H93" s="474">
        <v>-127033.06</v>
      </c>
      <c r="I93" s="476">
        <v>0</v>
      </c>
    </row>
    <row r="94" spans="1:14" x14ac:dyDescent="0.25">
      <c r="A94" s="471" t="s">
        <v>1416</v>
      </c>
      <c r="B94" s="493" t="s">
        <v>2492</v>
      </c>
      <c r="C94" s="483" t="s">
        <v>557</v>
      </c>
      <c r="D94" s="483"/>
      <c r="E94" s="469">
        <v>-57548.3</v>
      </c>
      <c r="F94" s="469">
        <v>-144825</v>
      </c>
      <c r="G94" s="469">
        <v>-34999.999999991996</v>
      </c>
      <c r="H94" s="474">
        <v>-47323</v>
      </c>
      <c r="I94" s="476">
        <v>-35000</v>
      </c>
    </row>
    <row r="95" spans="1:14" x14ac:dyDescent="0.25">
      <c r="A95" s="471" t="s">
        <v>1425</v>
      </c>
      <c r="B95" s="493" t="s">
        <v>2492</v>
      </c>
      <c r="C95" s="483" t="s">
        <v>566</v>
      </c>
      <c r="D95" s="483"/>
      <c r="E95" s="469">
        <v>-6700</v>
      </c>
      <c r="F95" s="469">
        <v>-909061.74</v>
      </c>
      <c r="G95" s="469">
        <v>-150000</v>
      </c>
      <c r="H95" s="474">
        <v>-342808.44</v>
      </c>
      <c r="I95" s="476">
        <v>-350000</v>
      </c>
      <c r="L95" s="484" t="s">
        <v>2495</v>
      </c>
    </row>
    <row r="96" spans="1:14" x14ac:dyDescent="0.25">
      <c r="A96" s="471" t="s">
        <v>1426</v>
      </c>
      <c r="B96" s="493" t="s">
        <v>2492</v>
      </c>
      <c r="C96" s="483" t="s">
        <v>567</v>
      </c>
      <c r="D96" s="483"/>
      <c r="E96" s="469">
        <v>-7109320.8899999997</v>
      </c>
      <c r="F96" s="469">
        <v>-11407038.82</v>
      </c>
      <c r="G96" s="469">
        <v>-8999600</v>
      </c>
      <c r="H96" s="474">
        <v>-3453300.63</v>
      </c>
      <c r="I96" s="476">
        <v>-15000000</v>
      </c>
      <c r="K96" s="470">
        <v>-1500000</v>
      </c>
      <c r="L96" s="485" t="s">
        <v>2496</v>
      </c>
      <c r="M96" s="485"/>
      <c r="N96" s="105">
        <v>5566000</v>
      </c>
    </row>
    <row r="97" spans="1:14" x14ac:dyDescent="0.25">
      <c r="A97" s="471" t="s">
        <v>1429</v>
      </c>
      <c r="B97" s="493" t="s">
        <v>2492</v>
      </c>
      <c r="C97" s="483" t="s">
        <v>571</v>
      </c>
      <c r="D97" s="483"/>
      <c r="E97" s="469">
        <v>-1222139.83</v>
      </c>
      <c r="F97" s="469">
        <v>-1811356.23</v>
      </c>
      <c r="G97" s="469">
        <v>-1500000</v>
      </c>
      <c r="H97" s="474">
        <v>-714918.94</v>
      </c>
      <c r="I97" s="476">
        <v>-1000000</v>
      </c>
      <c r="L97" s="485" t="s">
        <v>2497</v>
      </c>
      <c r="M97" s="485"/>
      <c r="N97" s="105">
        <v>2299000</v>
      </c>
    </row>
    <row r="98" spans="1:14" ht="15.75" thickBot="1" x14ac:dyDescent="0.3">
      <c r="C98" s="501" t="s">
        <v>2455</v>
      </c>
      <c r="D98" s="501"/>
      <c r="E98" s="502">
        <f>SUM(E78:E97)</f>
        <v>-17566254.889999993</v>
      </c>
      <c r="F98" s="502">
        <f t="shared" ref="F98:I98" si="8">SUM(F78:F97)</f>
        <v>-25042372.090000011</v>
      </c>
      <c r="G98" s="502">
        <f t="shared" si="8"/>
        <v>-20542599.999999858</v>
      </c>
      <c r="H98" s="503">
        <f t="shared" si="8"/>
        <v>-10678575.389999999</v>
      </c>
      <c r="I98" s="505">
        <f t="shared" si="8"/>
        <v>-22916000</v>
      </c>
      <c r="L98" s="485" t="s">
        <v>2498</v>
      </c>
      <c r="M98" s="485"/>
      <c r="N98" s="105">
        <v>1452000</v>
      </c>
    </row>
    <row r="99" spans="1:14" ht="15.75" thickTop="1" x14ac:dyDescent="0.25">
      <c r="L99" s="495" t="s">
        <v>2478</v>
      </c>
      <c r="M99" s="495"/>
      <c r="N99" s="496">
        <f>+SUM(N96:N98)</f>
        <v>9317000</v>
      </c>
    </row>
    <row r="100" spans="1:14" x14ac:dyDescent="0.25">
      <c r="E100" s="67">
        <f t="shared" ref="E100:H100" si="9">+E98+E76+E56+E50+E37+E30+E26+E14+E45</f>
        <v>-313354200.7100001</v>
      </c>
      <c r="F100" s="67">
        <f t="shared" si="9"/>
        <v>-341709379.95000011</v>
      </c>
      <c r="G100" s="506">
        <f>+G98+G76+G56+G50+G37+G30+G26+G14+G45</f>
        <v>-396500634.28703398</v>
      </c>
      <c r="H100" s="67">
        <f t="shared" si="9"/>
        <v>-315632585.41000003</v>
      </c>
      <c r="I100" s="507">
        <f>+I98+I76+I56+I50+I37+I30+I26+I14+I45</f>
        <v>-434424409.90999997</v>
      </c>
    </row>
    <row r="101" spans="1:14" x14ac:dyDescent="0.25">
      <c r="E101" s="508" t="s">
        <v>2499</v>
      </c>
      <c r="F101" s="508" t="s">
        <v>2500</v>
      </c>
      <c r="G101" s="509">
        <v>2515591.46</v>
      </c>
      <c r="I101" s="510">
        <v>6700000</v>
      </c>
      <c r="J101" s="511" t="s">
        <v>2501</v>
      </c>
    </row>
    <row r="102" spans="1:14" x14ac:dyDescent="0.25">
      <c r="F102" s="508" t="s">
        <v>2502</v>
      </c>
      <c r="G102" s="509">
        <v>18900000</v>
      </c>
      <c r="I102" s="510">
        <f>-(I42-G42)</f>
        <v>24419000</v>
      </c>
      <c r="J102" s="511" t="s">
        <v>2503</v>
      </c>
      <c r="L102" s="512" t="s">
        <v>2504</v>
      </c>
      <c r="M102" s="513"/>
      <c r="N102" s="514" t="s">
        <v>2505</v>
      </c>
    </row>
    <row r="103" spans="1:14" x14ac:dyDescent="0.25">
      <c r="E103" s="508" t="s">
        <v>2506</v>
      </c>
      <c r="G103" s="515">
        <f>14000000-5000000</f>
        <v>9000000</v>
      </c>
      <c r="I103" s="510"/>
      <c r="L103" s="516" t="s">
        <v>2507</v>
      </c>
      <c r="M103" s="517"/>
      <c r="N103" s="518" t="s">
        <v>2507</v>
      </c>
    </row>
    <row r="104" spans="1:14" ht="15.75" thickBot="1" x14ac:dyDescent="0.3">
      <c r="G104" s="515"/>
      <c r="I104" s="510"/>
      <c r="L104" s="516"/>
      <c r="M104" s="517"/>
      <c r="N104" s="518"/>
    </row>
    <row r="105" spans="1:14" ht="15.75" thickBot="1" x14ac:dyDescent="0.3">
      <c r="F105" s="508" t="s">
        <v>2478</v>
      </c>
      <c r="G105" s="519">
        <f>SUM(G100:G103)</f>
        <v>-366085042.827034</v>
      </c>
      <c r="I105" s="520">
        <f>I100+I101+I102</f>
        <v>-403305409.90999997</v>
      </c>
      <c r="L105" s="521">
        <f>+G98+G76+G56+G50+G37+G30+G26+G14+G45-G42-G39</f>
        <v>-333419295.24903226</v>
      </c>
      <c r="M105" s="522"/>
      <c r="N105" s="523">
        <f>+I98+I76+I56+I50+I37+I30+I26+I14+I45-I42-I39</f>
        <v>-340224409.90999997</v>
      </c>
    </row>
    <row r="106" spans="1:14" ht="15.75" thickBot="1" x14ac:dyDescent="0.3">
      <c r="I106" s="67"/>
      <c r="L106" s="524">
        <f>+L105+SUM(G101:G103)</f>
        <v>-303003703.78903228</v>
      </c>
      <c r="N106" s="525"/>
    </row>
    <row r="107" spans="1:14" ht="15.75" thickBot="1" x14ac:dyDescent="0.3">
      <c r="G107" s="526" t="s">
        <v>2508</v>
      </c>
      <c r="H107" s="527"/>
      <c r="I107" s="528">
        <f>I105-G105</f>
        <v>-37220367.08296597</v>
      </c>
      <c r="L107" s="529" t="s">
        <v>2509</v>
      </c>
      <c r="M107" s="530"/>
      <c r="N107" s="523">
        <f>N105-L105-G101-G102-G103</f>
        <v>-37220706.120967709</v>
      </c>
    </row>
    <row r="108" spans="1:14" x14ac:dyDescent="0.25">
      <c r="K108" s="531"/>
    </row>
    <row r="109" spans="1:14" x14ac:dyDescent="0.25">
      <c r="I109" s="201">
        <f>-I100+G105</f>
        <v>68339367.08296597</v>
      </c>
      <c r="J109" s="330" t="s">
        <v>2510</v>
      </c>
    </row>
    <row r="110" spans="1:14" x14ac:dyDescent="0.25">
      <c r="I110" s="532">
        <f>I109-I102-I101</f>
        <v>37220367.08296597</v>
      </c>
      <c r="J110" s="531" t="s">
        <v>2511</v>
      </c>
    </row>
    <row r="111" spans="1:14" ht="15.75" thickBot="1" x14ac:dyDescent="0.3">
      <c r="J111" s="330" t="s">
        <v>2512</v>
      </c>
    </row>
    <row r="112" spans="1:14" ht="15.75" thickBot="1" x14ac:dyDescent="0.3">
      <c r="G112" s="533" t="s">
        <v>2513</v>
      </c>
      <c r="H112" s="534"/>
      <c r="I112" s="535">
        <v>18000000</v>
      </c>
    </row>
    <row r="113" spans="8:14" x14ac:dyDescent="0.25">
      <c r="H113" s="536" t="s">
        <v>2514</v>
      </c>
      <c r="I113" s="537">
        <f>-(I100+I112)</f>
        <v>416424409.90999997</v>
      </c>
      <c r="J113" s="330" t="s">
        <v>2515</v>
      </c>
      <c r="K113" s="201">
        <f>I113+G105</f>
        <v>50339367.08296597</v>
      </c>
      <c r="L113" s="330" t="s">
        <v>2516</v>
      </c>
    </row>
    <row r="114" spans="8:14" x14ac:dyDescent="0.25">
      <c r="I114" s="67">
        <f>+I113-K118</f>
        <v>410364409.90999997</v>
      </c>
      <c r="J114" s="330" t="s">
        <v>2517</v>
      </c>
    </row>
    <row r="115" spans="8:14" x14ac:dyDescent="0.25">
      <c r="J115" s="314" t="s">
        <v>2518</v>
      </c>
      <c r="K115" s="67">
        <f>I101</f>
        <v>6700000</v>
      </c>
    </row>
    <row r="116" spans="8:14" x14ac:dyDescent="0.25">
      <c r="J116" s="314" t="s">
        <v>2519</v>
      </c>
      <c r="K116" s="67">
        <f>I102</f>
        <v>24419000</v>
      </c>
    </row>
    <row r="117" spans="8:14" x14ac:dyDescent="0.25">
      <c r="J117" s="538" t="s">
        <v>2520</v>
      </c>
      <c r="K117" s="539">
        <f>K113-K115-K116</f>
        <v>19220367.08296597</v>
      </c>
    </row>
    <row r="118" spans="8:14" x14ac:dyDescent="0.25">
      <c r="J118" s="540" t="s">
        <v>2521</v>
      </c>
      <c r="K118" s="541">
        <v>6060000</v>
      </c>
      <c r="L118" s="330" t="s">
        <v>2522</v>
      </c>
      <c r="M118" s="67"/>
    </row>
    <row r="119" spans="8:14" x14ac:dyDescent="0.25">
      <c r="J119" s="542" t="s">
        <v>2523</v>
      </c>
      <c r="K119" s="543">
        <f>K117-K118</f>
        <v>13160367.08296597</v>
      </c>
      <c r="L119" s="330" t="s">
        <v>2524</v>
      </c>
    </row>
    <row r="121" spans="8:14" x14ac:dyDescent="0.25">
      <c r="J121" s="544" t="s">
        <v>2525</v>
      </c>
    </row>
    <row r="122" spans="8:14" x14ac:dyDescent="0.25">
      <c r="J122" s="544" t="s">
        <v>2526</v>
      </c>
      <c r="K122" s="545" t="s">
        <v>2527</v>
      </c>
    </row>
    <row r="123" spans="8:14" x14ac:dyDescent="0.25">
      <c r="J123" s="544" t="s">
        <v>2528</v>
      </c>
    </row>
    <row r="124" spans="8:14" x14ac:dyDescent="0.25">
      <c r="J124" s="544" t="s">
        <v>2529</v>
      </c>
    </row>
    <row r="125" spans="8:14" x14ac:dyDescent="0.25">
      <c r="J125" s="544" t="s">
        <v>2530</v>
      </c>
    </row>
    <row r="127" spans="8:14" x14ac:dyDescent="0.25">
      <c r="J127" s="546" t="s">
        <v>2531</v>
      </c>
      <c r="K127" s="547"/>
      <c r="L127" s="547"/>
      <c r="M127" s="547"/>
      <c r="N127" s="547"/>
    </row>
    <row r="128" spans="8:14" x14ac:dyDescent="0.25">
      <c r="J128" s="531" t="s">
        <v>2532</v>
      </c>
    </row>
  </sheetData>
  <mergeCells count="85">
    <mergeCell ref="C95:D95"/>
    <mergeCell ref="C96:D96"/>
    <mergeCell ref="C97:D97"/>
    <mergeCell ref="L103:L104"/>
    <mergeCell ref="N103:N104"/>
    <mergeCell ref="C89:D89"/>
    <mergeCell ref="C90:D90"/>
    <mergeCell ref="C91:D91"/>
    <mergeCell ref="C92:D92"/>
    <mergeCell ref="C93:D93"/>
    <mergeCell ref="C94:D94"/>
    <mergeCell ref="C83:D83"/>
    <mergeCell ref="C84:D84"/>
    <mergeCell ref="C85:D85"/>
    <mergeCell ref="C86:D86"/>
    <mergeCell ref="C87:D87"/>
    <mergeCell ref="C88:D88"/>
    <mergeCell ref="C75:D75"/>
    <mergeCell ref="C78:D78"/>
    <mergeCell ref="C79:D79"/>
    <mergeCell ref="C80:D80"/>
    <mergeCell ref="C81:D81"/>
    <mergeCell ref="C82:D82"/>
    <mergeCell ref="C69:D69"/>
    <mergeCell ref="C70:D70"/>
    <mergeCell ref="C71:D71"/>
    <mergeCell ref="C72:D72"/>
    <mergeCell ref="C73:D73"/>
    <mergeCell ref="C74:D74"/>
    <mergeCell ref="C65:D65"/>
    <mergeCell ref="L65:U65"/>
    <mergeCell ref="C66:D66"/>
    <mergeCell ref="L66:U66"/>
    <mergeCell ref="C67:D67"/>
    <mergeCell ref="C68:D68"/>
    <mergeCell ref="C61:D61"/>
    <mergeCell ref="C62:D62"/>
    <mergeCell ref="L62:Q62"/>
    <mergeCell ref="C63:D63"/>
    <mergeCell ref="L63:U63"/>
    <mergeCell ref="C64:D64"/>
    <mergeCell ref="L64:U64"/>
    <mergeCell ref="C53:D53"/>
    <mergeCell ref="C54:D54"/>
    <mergeCell ref="C55:D55"/>
    <mergeCell ref="C58:D58"/>
    <mergeCell ref="C59:D59"/>
    <mergeCell ref="C60:D60"/>
    <mergeCell ref="C43:D43"/>
    <mergeCell ref="C44:D44"/>
    <mergeCell ref="C47:D47"/>
    <mergeCell ref="C48:D48"/>
    <mergeCell ref="C49:D49"/>
    <mergeCell ref="C52:D52"/>
    <mergeCell ref="C35:D35"/>
    <mergeCell ref="C36:D36"/>
    <mergeCell ref="C39:D39"/>
    <mergeCell ref="C40:D40"/>
    <mergeCell ref="C41:D41"/>
    <mergeCell ref="C42:D42"/>
    <mergeCell ref="C28:D28"/>
    <mergeCell ref="C29:D29"/>
    <mergeCell ref="S29:Y31"/>
    <mergeCell ref="C32:D32"/>
    <mergeCell ref="C33:D33"/>
    <mergeCell ref="C34:D34"/>
    <mergeCell ref="C20:D20"/>
    <mergeCell ref="C21:D21"/>
    <mergeCell ref="C22:D22"/>
    <mergeCell ref="C23:D23"/>
    <mergeCell ref="C24:D24"/>
    <mergeCell ref="C25:D25"/>
    <mergeCell ref="C12:D12"/>
    <mergeCell ref="C13:D13"/>
    <mergeCell ref="C16:D16"/>
    <mergeCell ref="C17:D17"/>
    <mergeCell ref="M17:V19"/>
    <mergeCell ref="C18:D18"/>
    <mergeCell ref="C19:D19"/>
    <mergeCell ref="C6:D6"/>
    <mergeCell ref="C7:D7"/>
    <mergeCell ref="C8:D8"/>
    <mergeCell ref="C9:D9"/>
    <mergeCell ref="C10:D10"/>
    <mergeCell ref="C11:D11"/>
  </mergeCells>
  <conditionalFormatting sqref="E5:G13 C10:C13 C6:C8 I6:I13">
    <cfRule type="expression" dxfId="238" priority="95">
      <formula>AND(#REF!=0,#REF!=1,LEFT($A5,1)="A")</formula>
    </cfRule>
    <cfRule type="expression" dxfId="237" priority="96">
      <formula>#REF!=3</formula>
    </cfRule>
    <cfRule type="expression" dxfId="236" priority="97">
      <formula>#REF!=2</formula>
    </cfRule>
    <cfRule type="expression" dxfId="235" priority="98">
      <formula>AND(#REF!=1,OR(#REF!&lt;&gt;0,LEFT($A5,1)="I",LEFT($A5,1)="C",RIGHT($A5,1)="X"))</formula>
    </cfRule>
    <cfRule type="expression" dxfId="234" priority="99">
      <formula>#REF!=0</formula>
    </cfRule>
  </conditionalFormatting>
  <conditionalFormatting sqref="C5">
    <cfRule type="expression" dxfId="233" priority="100">
      <formula>AND(#REF!=0,#REF!=1,LEFT($A6,1)="A")</formula>
    </cfRule>
    <cfRule type="expression" dxfId="232" priority="101">
      <formula>#REF!=3</formula>
    </cfRule>
    <cfRule type="expression" dxfId="231" priority="102">
      <formula>#REF!=2</formula>
    </cfRule>
    <cfRule type="expression" dxfId="230" priority="103">
      <formula>AND(#REF!=1,OR(#REF!&lt;&gt;0,LEFT($A6,1)="I",LEFT($A6,1)="C",RIGHT($A6,1)="X"))</formula>
    </cfRule>
    <cfRule type="expression" dxfId="229" priority="104">
      <formula>#REF!=0</formula>
    </cfRule>
  </conditionalFormatting>
  <conditionalFormatting sqref="H5">
    <cfRule type="expression" dxfId="228" priority="90">
      <formula>AND(#REF!=0,#REF!=1,LEFT($A5,1)="A")</formula>
    </cfRule>
    <cfRule type="expression" dxfId="227" priority="91">
      <formula>#REF!=3</formula>
    </cfRule>
    <cfRule type="expression" dxfId="226" priority="92">
      <formula>#REF!=2</formula>
    </cfRule>
    <cfRule type="expression" dxfId="225" priority="93">
      <formula>AND(#REF!=1,OR(#REF!&lt;&gt;0,LEFT($A5,1)="I",LEFT($A5,1)="C",RIGHT($A5,1)="X"))</formula>
    </cfRule>
    <cfRule type="expression" dxfId="224" priority="94">
      <formula>#REF!=0</formula>
    </cfRule>
  </conditionalFormatting>
  <conditionalFormatting sqref="I5">
    <cfRule type="expression" dxfId="223" priority="85">
      <formula>AND(#REF!=0,#REF!=1,LEFT($A5,1)="A")</formula>
    </cfRule>
    <cfRule type="expression" dxfId="222" priority="86">
      <formula>#REF!=3</formula>
    </cfRule>
    <cfRule type="expression" dxfId="221" priority="87">
      <formula>#REF!=2</formula>
    </cfRule>
    <cfRule type="expression" dxfId="220" priority="88">
      <formula>AND(#REF!=1,OR(#REF!&lt;&gt;0,LEFT($A5,1)="I",LEFT($A5,1)="C",RIGHT($A5,1)="X"))</formula>
    </cfRule>
    <cfRule type="expression" dxfId="219" priority="89">
      <formula>#REF!=0</formula>
    </cfRule>
  </conditionalFormatting>
  <conditionalFormatting sqref="C9">
    <cfRule type="expression" dxfId="218" priority="80">
      <formula>AND(#REF!=0,#REF!=1,LEFT($A9,1)="A")</formula>
    </cfRule>
    <cfRule type="expression" dxfId="217" priority="81">
      <formula>#REF!=3</formula>
    </cfRule>
    <cfRule type="expression" dxfId="216" priority="82">
      <formula>#REF!=2</formula>
    </cfRule>
    <cfRule type="expression" dxfId="215" priority="83">
      <formula>AND(#REF!=1,OR(#REF!&lt;&gt;0,LEFT($A9,1)="I",LEFT($A9,1)="C",RIGHT($A9,1)="X"))</formula>
    </cfRule>
    <cfRule type="expression" dxfId="214" priority="84">
      <formula>#REF!=0</formula>
    </cfRule>
  </conditionalFormatting>
  <conditionalFormatting sqref="H59 H43">
    <cfRule type="expression" dxfId="213" priority="15">
      <formula>#REF!=4</formula>
    </cfRule>
  </conditionalFormatting>
  <conditionalFormatting sqref="H6:H13">
    <cfRule type="expression" dxfId="212" priority="79">
      <formula>#REF!=4</formula>
    </cfRule>
  </conditionalFormatting>
  <conditionalFormatting sqref="E16:G25 C16:C25 I16:I25">
    <cfRule type="expression" dxfId="211" priority="74">
      <formula>AND(#REF!=0,#REF!=1,LEFT($A16,1)="A")</formula>
    </cfRule>
    <cfRule type="expression" dxfId="210" priority="75">
      <formula>#REF!=3</formula>
    </cfRule>
    <cfRule type="expression" dxfId="209" priority="76">
      <formula>#REF!=2</formula>
    </cfRule>
    <cfRule type="expression" dxfId="208" priority="77">
      <formula>AND(#REF!=1,OR(#REF!&lt;&gt;0,LEFT($A16,1)="I",LEFT($A16,1)="C",RIGHT($A16,1)="X"))</formula>
    </cfRule>
    <cfRule type="expression" dxfId="207" priority="78">
      <formula>#REF!=0</formula>
    </cfRule>
  </conditionalFormatting>
  <conditionalFormatting sqref="H16:H25">
    <cfRule type="expression" dxfId="206" priority="73">
      <formula>#REF!=4</formula>
    </cfRule>
  </conditionalFormatting>
  <conditionalFormatting sqref="E28:G29 C28:C29 I28">
    <cfRule type="expression" dxfId="205" priority="68">
      <formula>AND(#REF!=0,#REF!=1,LEFT($A28,1)="A")</formula>
    </cfRule>
    <cfRule type="expression" dxfId="204" priority="69">
      <formula>#REF!=3</formula>
    </cfRule>
    <cfRule type="expression" dxfId="203" priority="70">
      <formula>#REF!=2</formula>
    </cfRule>
    <cfRule type="expression" dxfId="202" priority="71">
      <formula>AND(#REF!=1,OR(#REF!&lt;&gt;0,LEFT($A28,1)="I",LEFT($A28,1)="C",RIGHT($A28,1)="X"))</formula>
    </cfRule>
    <cfRule type="expression" dxfId="201" priority="72">
      <formula>#REF!=0</formula>
    </cfRule>
  </conditionalFormatting>
  <conditionalFormatting sqref="H28:H29">
    <cfRule type="expression" dxfId="200" priority="67">
      <formula>#REF!=4</formula>
    </cfRule>
  </conditionalFormatting>
  <conditionalFormatting sqref="E32:G36 C32:C36 I32:I36">
    <cfRule type="expression" dxfId="199" priority="62">
      <formula>AND(#REF!=0,#REF!=1,LEFT($A32,1)="A")</formula>
    </cfRule>
    <cfRule type="expression" dxfId="198" priority="63">
      <formula>#REF!=3</formula>
    </cfRule>
    <cfRule type="expression" dxfId="197" priority="64">
      <formula>#REF!=2</formula>
    </cfRule>
    <cfRule type="expression" dxfId="196" priority="65">
      <formula>AND(#REF!=1,OR(#REF!&lt;&gt;0,LEFT($A32,1)="I",LEFT($A32,1)="C",RIGHT($A32,1)="X"))</formula>
    </cfRule>
    <cfRule type="expression" dxfId="195" priority="66">
      <formula>#REF!=0</formula>
    </cfRule>
  </conditionalFormatting>
  <conditionalFormatting sqref="H32:H36">
    <cfRule type="expression" dxfId="194" priority="61">
      <formula>#REF!=4</formula>
    </cfRule>
  </conditionalFormatting>
  <conditionalFormatting sqref="C44 E39:G41 C39:C40 I39:I41 I43:I44 E43:G44">
    <cfRule type="expression" dxfId="193" priority="56">
      <formula>AND(#REF!=0,#REF!=1,LEFT($A39,1)="A")</formula>
    </cfRule>
    <cfRule type="expression" dxfId="192" priority="57">
      <formula>#REF!=3</formula>
    </cfRule>
    <cfRule type="expression" dxfId="191" priority="58">
      <formula>#REF!=2</formula>
    </cfRule>
    <cfRule type="expression" dxfId="190" priority="59">
      <formula>AND(#REF!=1,OR(#REF!&lt;&gt;0,LEFT($A39,1)="I",LEFT($A39,1)="C",RIGHT($A39,1)="X"))</formula>
    </cfRule>
    <cfRule type="expression" dxfId="189" priority="60">
      <formula>#REF!=0</formula>
    </cfRule>
  </conditionalFormatting>
  <conditionalFormatting sqref="C41">
    <cfRule type="expression" dxfId="188" priority="51">
      <formula>AND(#REF!=0,#REF!=1,LEFT($A41,1)="A")</formula>
    </cfRule>
    <cfRule type="expression" dxfId="187" priority="52">
      <formula>#REF!=3</formula>
    </cfRule>
    <cfRule type="expression" dxfId="186" priority="53">
      <formula>#REF!=2</formula>
    </cfRule>
    <cfRule type="expression" dxfId="185" priority="54">
      <formula>AND(#REF!=1,OR(#REF!&lt;&gt;0,LEFT($A41,1)="I",LEFT($A41,1)="C",RIGHT($A41,1)="X"))</formula>
    </cfRule>
    <cfRule type="expression" dxfId="184" priority="55">
      <formula>#REF!=0</formula>
    </cfRule>
  </conditionalFormatting>
  <conditionalFormatting sqref="C43">
    <cfRule type="expression" dxfId="183" priority="46">
      <formula>AND(#REF!=0,#REF!=1,LEFT($A43,1)="A")</formula>
    </cfRule>
    <cfRule type="expression" dxfId="182" priority="47">
      <formula>#REF!=3</formula>
    </cfRule>
    <cfRule type="expression" dxfId="181" priority="48">
      <formula>#REF!=2</formula>
    </cfRule>
    <cfRule type="expression" dxfId="180" priority="49">
      <formula>AND(#REF!=1,OR(#REF!&lt;&gt;0,LEFT($A43,1)="I",LEFT($A43,1)="C",RIGHT($A43,1)="X"))</formula>
    </cfRule>
    <cfRule type="expression" dxfId="179" priority="50">
      <formula>#REF!=0</formula>
    </cfRule>
  </conditionalFormatting>
  <conditionalFormatting sqref="H39:H41">
    <cfRule type="expression" dxfId="178" priority="45">
      <formula>#REF!=4</formula>
    </cfRule>
  </conditionalFormatting>
  <conditionalFormatting sqref="H44">
    <cfRule type="expression" dxfId="177" priority="44">
      <formula>#REF!=4</formula>
    </cfRule>
  </conditionalFormatting>
  <conditionalFormatting sqref="E47:G49 C47:C49 I47:I48">
    <cfRule type="expression" dxfId="176" priority="39">
      <formula>AND(#REF!=0,#REF!=1,LEFT($A47,1)="A")</formula>
    </cfRule>
    <cfRule type="expression" dxfId="175" priority="40">
      <formula>#REF!=3</formula>
    </cfRule>
    <cfRule type="expression" dxfId="174" priority="41">
      <formula>#REF!=2</formula>
    </cfRule>
    <cfRule type="expression" dxfId="173" priority="42">
      <formula>AND(#REF!=1,OR(#REF!&lt;&gt;0,LEFT($A47,1)="I",LEFT($A47,1)="C",RIGHT($A47,1)="X"))</formula>
    </cfRule>
    <cfRule type="expression" dxfId="172" priority="43">
      <formula>#REF!=0</formula>
    </cfRule>
  </conditionalFormatting>
  <conditionalFormatting sqref="H47:H49">
    <cfRule type="expression" dxfId="171" priority="38">
      <formula>#REF!=4</formula>
    </cfRule>
  </conditionalFormatting>
  <conditionalFormatting sqref="E52:G55 C52:C55 I52:I55">
    <cfRule type="expression" dxfId="170" priority="33">
      <formula>AND(#REF!=0,#REF!=1,LEFT($A52,1)="A")</formula>
    </cfRule>
    <cfRule type="expression" dxfId="169" priority="34">
      <formula>#REF!=3</formula>
    </cfRule>
    <cfRule type="expression" dxfId="168" priority="35">
      <formula>#REF!=2</formula>
    </cfRule>
    <cfRule type="expression" dxfId="167" priority="36">
      <formula>AND(#REF!=1,OR(#REF!&lt;&gt;0,LEFT($A52,1)="I",LEFT($A52,1)="C",RIGHT($A52,1)="X"))</formula>
    </cfRule>
    <cfRule type="expression" dxfId="166" priority="37">
      <formula>#REF!=0</formula>
    </cfRule>
  </conditionalFormatting>
  <conditionalFormatting sqref="E58:G75 I74:I75 C61:C75 C58:C59 I58:I71">
    <cfRule type="expression" dxfId="165" priority="28">
      <formula>AND(#REF!=0,#REF!=1,LEFT($A58,1)="A")</formula>
    </cfRule>
    <cfRule type="expression" dxfId="164" priority="29">
      <formula>#REF!=3</formula>
    </cfRule>
    <cfRule type="expression" dxfId="163" priority="30">
      <formula>#REF!=2</formula>
    </cfRule>
    <cfRule type="expression" dxfId="162" priority="31">
      <formula>AND(#REF!=1,OR(#REF!&lt;&gt;0,LEFT($A58,1)="I",LEFT($A58,1)="C",RIGHT($A58,1)="X"))</formula>
    </cfRule>
    <cfRule type="expression" dxfId="161" priority="32">
      <formula>#REF!=0</formula>
    </cfRule>
  </conditionalFormatting>
  <conditionalFormatting sqref="J58">
    <cfRule type="expression" dxfId="160" priority="27">
      <formula>#REF!=4</formula>
    </cfRule>
  </conditionalFormatting>
  <conditionalFormatting sqref="C60">
    <cfRule type="expression" dxfId="159" priority="22">
      <formula>AND(#REF!=0,#REF!=1,LEFT($A60,1)="A")</formula>
    </cfRule>
    <cfRule type="expression" dxfId="158" priority="23">
      <formula>#REF!=3</formula>
    </cfRule>
    <cfRule type="expression" dxfId="157" priority="24">
      <formula>#REF!=2</formula>
    </cfRule>
    <cfRule type="expression" dxfId="156" priority="25">
      <formula>AND(#REF!=1,OR(#REF!&lt;&gt;0,LEFT($A60,1)="I",LEFT($A60,1)="C",RIGHT($A60,1)="X"))</formula>
    </cfRule>
    <cfRule type="expression" dxfId="155" priority="26">
      <formula>#REF!=0</formula>
    </cfRule>
  </conditionalFormatting>
  <conditionalFormatting sqref="H61:H62">
    <cfRule type="expression" dxfId="154" priority="21">
      <formula>#REF!=4</formula>
    </cfRule>
  </conditionalFormatting>
  <conditionalFormatting sqref="H65">
    <cfRule type="expression" dxfId="153" priority="20">
      <formula>#REF!=4</formula>
    </cfRule>
  </conditionalFormatting>
  <conditionalFormatting sqref="H67:H70">
    <cfRule type="expression" dxfId="152" priority="19">
      <formula>#REF!=4</formula>
    </cfRule>
  </conditionalFormatting>
  <conditionalFormatting sqref="H71">
    <cfRule type="expression" dxfId="151" priority="18">
      <formula>#REF!=4</formula>
    </cfRule>
  </conditionalFormatting>
  <conditionalFormatting sqref="H74:H75">
    <cfRule type="expression" dxfId="150" priority="17">
      <formula>#REF!=4</formula>
    </cfRule>
  </conditionalFormatting>
  <conditionalFormatting sqref="H58">
    <cfRule type="expression" dxfId="149" priority="16">
      <formula>#REF!=4</formula>
    </cfRule>
  </conditionalFormatting>
  <conditionalFormatting sqref="H66">
    <cfRule type="expression" dxfId="148" priority="14">
      <formula>#REF!=4</formula>
    </cfRule>
  </conditionalFormatting>
  <conditionalFormatting sqref="C42 I42 E42:G42">
    <cfRule type="expression" dxfId="147" priority="9">
      <formula>AND(#REF!=0,#REF!=1,LEFT($A42,1)="A")</formula>
    </cfRule>
    <cfRule type="expression" dxfId="146" priority="10">
      <formula>#REF!=3</formula>
    </cfRule>
    <cfRule type="expression" dxfId="145" priority="11">
      <formula>#REF!=2</formula>
    </cfRule>
    <cfRule type="expression" dxfId="144" priority="12">
      <formula>AND(#REF!=1,OR(#REF!&lt;&gt;0,LEFT($A42,1)="I",LEFT($A42,1)="C",RIGHT($A42,1)="X"))</formula>
    </cfRule>
    <cfRule type="expression" dxfId="143" priority="13">
      <formula>#REF!=0</formula>
    </cfRule>
  </conditionalFormatting>
  <conditionalFormatting sqref="E78:G97 C78:C97 I78:I97">
    <cfRule type="expression" dxfId="142" priority="4">
      <formula>AND(#REF!=0,#REF!=1,LEFT($A78,1)="A")</formula>
    </cfRule>
    <cfRule type="expression" dxfId="141" priority="5">
      <formula>#REF!=3</formula>
    </cfRule>
    <cfRule type="expression" dxfId="140" priority="6">
      <formula>#REF!=2</formula>
    </cfRule>
    <cfRule type="expression" dxfId="139" priority="7">
      <formula>AND(#REF!=1,OR(#REF!&lt;&gt;0,LEFT($A78,1)="I",LEFT($A78,1)="C",RIGHT($A78,1)="X"))</formula>
    </cfRule>
    <cfRule type="expression" dxfId="138" priority="8">
      <formula>#REF!=0</formula>
    </cfRule>
  </conditionalFormatting>
  <conditionalFormatting sqref="H78:H84">
    <cfRule type="expression" dxfId="137" priority="3">
      <formula>#REF!=4</formula>
    </cfRule>
  </conditionalFormatting>
  <conditionalFormatting sqref="H85:H89">
    <cfRule type="expression" dxfId="136" priority="2">
      <formula>#REF!=4</formula>
    </cfRule>
  </conditionalFormatting>
  <conditionalFormatting sqref="H90:H97">
    <cfRule type="expression" dxfId="135" priority="1">
      <formula>#REF!=4</formula>
    </cfRule>
  </conditionalFormatting>
  <conditionalFormatting sqref="H6:H13 H16:H25 H28:H29 H32:H36 H39:H41 H43:H44 H47:H49 J58 H61:H62 H74:H75 H58:H59 H65:H71 H78:H97">
    <cfRule type="expression" dxfId="134" priority="105">
      <formula>AND($B6=0,#REF!=1,LEFT($C6,1)="A")</formula>
    </cfRule>
    <cfRule type="expression" dxfId="133" priority="106">
      <formula>#REF!=3</formula>
    </cfRule>
    <cfRule type="expression" dxfId="132" priority="107">
      <formula>#REF!=2</formula>
    </cfRule>
    <cfRule type="expression" dxfId="131" priority="108">
      <formula>AND(#REF!=1,OR($B6&lt;&gt;0,LEFT($C6,1)="I",LEFT($C6,1)="C",RIGHT($C6,1)="X"))</formula>
    </cfRule>
    <cfRule type="expression" dxfId="130" priority="109">
      <formula>#REF!=0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03D19-77BC-4033-B9D5-5DC3146A1694}">
  <dimension ref="A1:Z58"/>
  <sheetViews>
    <sheetView zoomScaleNormal="100" workbookViewId="0">
      <pane ySplit="5" topLeftCell="A6" activePane="bottomLeft" state="frozen"/>
      <selection pane="bottomLeft" activeCell="I46" sqref="I46"/>
    </sheetView>
  </sheetViews>
  <sheetFormatPr defaultRowHeight="15" x14ac:dyDescent="0.25"/>
  <cols>
    <col min="1" max="3" width="14.7109375" style="330" customWidth="1"/>
    <col min="4" max="4" width="32" style="330" customWidth="1"/>
    <col min="5" max="5" width="21.7109375" style="330" customWidth="1"/>
    <col min="6" max="6" width="22" style="330" customWidth="1"/>
    <col min="7" max="11" width="14.7109375" style="330" customWidth="1"/>
    <col min="12" max="15" width="9.140625" style="330"/>
    <col min="16" max="16" width="16.140625" style="330" customWidth="1"/>
    <col min="17" max="17" width="21.7109375" style="330" customWidth="1"/>
    <col min="18" max="22" width="12" style="330" customWidth="1"/>
    <col min="23" max="23" width="9.140625" style="330"/>
    <col min="24" max="24" width="31.28515625" style="330" bestFit="1" customWidth="1"/>
    <col min="25" max="25" width="4.28515625" style="330" bestFit="1" customWidth="1"/>
    <col min="26" max="16384" width="9.140625" style="330"/>
  </cols>
  <sheetData>
    <row r="1" spans="1:20" ht="15.75" thickBot="1" x14ac:dyDescent="0.3">
      <c r="A1" s="421"/>
      <c r="B1" s="421"/>
      <c r="C1" s="421"/>
      <c r="D1" s="421"/>
      <c r="E1" s="456"/>
      <c r="F1" s="457"/>
      <c r="G1" s="421"/>
      <c r="H1" s="421"/>
      <c r="I1" s="421"/>
      <c r="J1" s="421"/>
      <c r="K1" s="421"/>
    </row>
    <row r="2" spans="1:20" ht="15.75" thickBot="1" x14ac:dyDescent="0.3">
      <c r="A2" s="421"/>
      <c r="B2" s="421"/>
      <c r="C2" s="421"/>
      <c r="D2" s="421"/>
      <c r="E2" s="421"/>
      <c r="F2" s="458" t="s">
        <v>3</v>
      </c>
      <c r="G2" s="459" t="s">
        <v>4</v>
      </c>
      <c r="H2" s="459" t="s">
        <v>4</v>
      </c>
      <c r="I2" s="459" t="s">
        <v>4</v>
      </c>
      <c r="J2" s="460" t="s">
        <v>2453</v>
      </c>
      <c r="K2" s="461" t="s">
        <v>1714</v>
      </c>
    </row>
    <row r="3" spans="1:20" ht="15.75" thickBot="1" x14ac:dyDescent="0.3">
      <c r="A3" s="421"/>
      <c r="B3" s="421"/>
      <c r="C3" s="421"/>
      <c r="D3" s="421"/>
      <c r="E3" s="421"/>
      <c r="F3" s="458" t="s">
        <v>5</v>
      </c>
      <c r="G3" s="459" t="s">
        <v>0</v>
      </c>
      <c r="H3" s="459">
        <v>2018</v>
      </c>
      <c r="I3" s="459" t="s">
        <v>1</v>
      </c>
      <c r="J3" s="462">
        <v>2019</v>
      </c>
      <c r="K3" s="463">
        <v>2020</v>
      </c>
    </row>
    <row r="4" spans="1:20" ht="15.75" thickBot="1" x14ac:dyDescent="0.3">
      <c r="A4" s="421"/>
      <c r="B4" s="421"/>
      <c r="C4" s="421"/>
      <c r="D4" s="421"/>
      <c r="E4" s="464"/>
      <c r="F4" s="458" t="s">
        <v>6</v>
      </c>
      <c r="G4" s="459" t="s">
        <v>8</v>
      </c>
      <c r="H4" s="459" t="s">
        <v>8</v>
      </c>
      <c r="I4" s="461" t="s">
        <v>7</v>
      </c>
      <c r="J4" s="465"/>
      <c r="K4" s="461" t="s">
        <v>7</v>
      </c>
    </row>
    <row r="5" spans="1:20" ht="15.75" thickBot="1" x14ac:dyDescent="0.3">
      <c r="A5" s="466" t="s">
        <v>9</v>
      </c>
      <c r="B5" s="466"/>
      <c r="C5" s="466"/>
      <c r="D5" s="467" t="s">
        <v>914</v>
      </c>
      <c r="E5" s="468"/>
      <c r="F5" s="421"/>
      <c r="G5" s="469"/>
      <c r="H5" s="469"/>
      <c r="I5" s="469"/>
      <c r="J5" s="469"/>
      <c r="K5" s="469"/>
    </row>
    <row r="6" spans="1:20" ht="15.75" thickTop="1" x14ac:dyDescent="0.25">
      <c r="A6" s="471" t="s">
        <v>1097</v>
      </c>
      <c r="B6" s="472" t="s">
        <v>922</v>
      </c>
      <c r="C6" s="472" t="s">
        <v>923</v>
      </c>
      <c r="D6" s="472" t="s">
        <v>2533</v>
      </c>
      <c r="E6" s="548" t="s">
        <v>189</v>
      </c>
      <c r="F6" s="549"/>
      <c r="G6" s="550">
        <v>-25469376.829999998</v>
      </c>
      <c r="H6" s="550">
        <v>-30117002.609999999</v>
      </c>
      <c r="I6" s="550">
        <v>-31100000</v>
      </c>
      <c r="J6" s="436">
        <v>-28296509.010000002</v>
      </c>
      <c r="K6" s="551">
        <v>-33500000</v>
      </c>
      <c r="M6" s="485"/>
      <c r="N6" s="485" t="s">
        <v>2534</v>
      </c>
      <c r="O6" s="552" t="s">
        <v>2535</v>
      </c>
      <c r="P6" s="552"/>
      <c r="Q6" s="552" t="s">
        <v>2536</v>
      </c>
      <c r="R6" s="552"/>
      <c r="S6" s="552" t="s">
        <v>2537</v>
      </c>
      <c r="T6" s="485"/>
    </row>
    <row r="7" spans="1:20" x14ac:dyDescent="0.25">
      <c r="A7" s="471" t="s">
        <v>1098</v>
      </c>
      <c r="B7" s="472" t="s">
        <v>922</v>
      </c>
      <c r="C7" s="472" t="s">
        <v>923</v>
      </c>
      <c r="D7" s="472" t="s">
        <v>2533</v>
      </c>
      <c r="E7" s="548" t="s">
        <v>190</v>
      </c>
      <c r="F7" s="549"/>
      <c r="G7" s="550">
        <v>-1028481.45</v>
      </c>
      <c r="H7" s="550">
        <v>-1330787.06</v>
      </c>
      <c r="I7" s="550">
        <v>-1300000</v>
      </c>
      <c r="J7" s="436">
        <v>-1542882.99</v>
      </c>
      <c r="K7" s="553">
        <v>-1858000</v>
      </c>
      <c r="M7" s="485" t="s">
        <v>2538</v>
      </c>
      <c r="N7" s="485"/>
      <c r="O7" s="105">
        <v>-250000</v>
      </c>
      <c r="P7" s="554">
        <v>0.97619047619047616</v>
      </c>
      <c r="Q7" s="105">
        <v>3683184.46</v>
      </c>
      <c r="R7" s="554">
        <v>1.5608783188083886</v>
      </c>
      <c r="S7" s="105" t="s">
        <v>2539</v>
      </c>
      <c r="T7" s="554"/>
    </row>
    <row r="8" spans="1:20" x14ac:dyDescent="0.25">
      <c r="A8" s="471" t="s">
        <v>1099</v>
      </c>
      <c r="B8" s="472" t="s">
        <v>922</v>
      </c>
      <c r="C8" s="472" t="s">
        <v>923</v>
      </c>
      <c r="D8" s="472" t="s">
        <v>2533</v>
      </c>
      <c r="E8" s="548" t="s">
        <v>191</v>
      </c>
      <c r="F8" s="549"/>
      <c r="G8" s="550">
        <v>-5784589.7999999998</v>
      </c>
      <c r="H8" s="550">
        <v>-4321242.3</v>
      </c>
      <c r="I8" s="550">
        <v>-4999999.9999999702</v>
      </c>
      <c r="J8" s="436">
        <v>-944895.12</v>
      </c>
      <c r="K8" s="553">
        <v>-1000000</v>
      </c>
      <c r="M8" s="485" t="s">
        <v>2540</v>
      </c>
      <c r="N8" s="485"/>
      <c r="O8" s="105"/>
      <c r="P8" s="554"/>
      <c r="Q8" s="105"/>
      <c r="R8" s="554"/>
      <c r="S8" s="105"/>
      <c r="T8" s="554"/>
    </row>
    <row r="9" spans="1:20" x14ac:dyDescent="0.25">
      <c r="A9" s="471" t="s">
        <v>1100</v>
      </c>
      <c r="B9" s="472" t="s">
        <v>922</v>
      </c>
      <c r="C9" s="472" t="s">
        <v>923</v>
      </c>
      <c r="D9" s="472" t="s">
        <v>2533</v>
      </c>
      <c r="E9" s="548" t="s">
        <v>192</v>
      </c>
      <c r="F9" s="549"/>
      <c r="G9" s="550">
        <v>-134088181.5</v>
      </c>
      <c r="H9" s="550">
        <v>-148055292.44999999</v>
      </c>
      <c r="I9" s="550">
        <v>-260800000</v>
      </c>
      <c r="J9" s="436">
        <v>-213440051.53</v>
      </c>
      <c r="K9" s="553">
        <v>-260000000</v>
      </c>
      <c r="M9" s="485"/>
      <c r="N9" s="485"/>
      <c r="O9" s="105"/>
      <c r="P9" s="554"/>
      <c r="Q9" s="105"/>
      <c r="R9" s="554"/>
      <c r="S9" s="105"/>
      <c r="T9" s="554"/>
    </row>
    <row r="10" spans="1:20" x14ac:dyDescent="0.25">
      <c r="A10" s="471" t="s">
        <v>1101</v>
      </c>
      <c r="B10" s="472" t="s">
        <v>922</v>
      </c>
      <c r="C10" s="472" t="s">
        <v>923</v>
      </c>
      <c r="D10" s="472" t="s">
        <v>2533</v>
      </c>
      <c r="E10" s="548" t="s">
        <v>193</v>
      </c>
      <c r="F10" s="549"/>
      <c r="G10" s="550">
        <v>-4851313.87</v>
      </c>
      <c r="H10" s="550">
        <v>-5663212.2999999998</v>
      </c>
      <c r="I10" s="550">
        <v>-5999999.9999999898</v>
      </c>
      <c r="J10" s="436">
        <v>-5294721.6100000003</v>
      </c>
      <c r="K10" s="553">
        <v>-6222000</v>
      </c>
      <c r="M10" s="485" t="s">
        <v>2541</v>
      </c>
      <c r="N10" s="485" t="s">
        <v>2542</v>
      </c>
      <c r="O10" s="105">
        <v>739000</v>
      </c>
      <c r="P10" s="554">
        <v>1.0020520709533383</v>
      </c>
      <c r="Q10" s="105">
        <v>15022104.300000012</v>
      </c>
      <c r="R10" s="554">
        <v>1.0434364601953581</v>
      </c>
      <c r="S10" s="105">
        <v>-1395312</v>
      </c>
      <c r="T10" s="554">
        <v>0.99614829541854655</v>
      </c>
    </row>
    <row r="11" spans="1:20" x14ac:dyDescent="0.25">
      <c r="A11" s="471" t="s">
        <v>1102</v>
      </c>
      <c r="B11" s="472" t="s">
        <v>922</v>
      </c>
      <c r="C11" s="472" t="s">
        <v>923</v>
      </c>
      <c r="D11" s="472" t="s">
        <v>2533</v>
      </c>
      <c r="E11" s="548" t="s">
        <v>194</v>
      </c>
      <c r="F11" s="549"/>
      <c r="G11" s="550">
        <v>-18328123.760000002</v>
      </c>
      <c r="H11" s="550">
        <v>-20542578.649999999</v>
      </c>
      <c r="I11" s="550">
        <v>-38900000</v>
      </c>
      <c r="J11" s="436">
        <v>-33487436.800000001</v>
      </c>
      <c r="K11" s="553">
        <v>-39679000</v>
      </c>
      <c r="M11" s="485" t="s">
        <v>2543</v>
      </c>
      <c r="N11" s="485" t="s">
        <v>2544</v>
      </c>
      <c r="O11" s="105">
        <v>801000</v>
      </c>
      <c r="P11" s="554">
        <v>1.001861193533921</v>
      </c>
      <c r="Q11" s="105">
        <v>18227573.869999945</v>
      </c>
      <c r="R11" s="554">
        <v>1.0441407148227042</v>
      </c>
      <c r="S11" s="105">
        <v>-3708899</v>
      </c>
      <c r="T11" s="554">
        <v>0.99147142110475217</v>
      </c>
    </row>
    <row r="12" spans="1:20" x14ac:dyDescent="0.25">
      <c r="A12" s="471" t="s">
        <v>1103</v>
      </c>
      <c r="B12" s="472" t="s">
        <v>922</v>
      </c>
      <c r="C12" s="472" t="s">
        <v>923</v>
      </c>
      <c r="D12" s="472" t="s">
        <v>2533</v>
      </c>
      <c r="E12" s="548" t="s">
        <v>195</v>
      </c>
      <c r="F12" s="549"/>
      <c r="G12" s="550">
        <v>-761043.77</v>
      </c>
      <c r="H12" s="550">
        <v>-466724.64</v>
      </c>
      <c r="I12" s="550">
        <v>-499999.999999983</v>
      </c>
      <c r="J12" s="436">
        <v>-1961355.31</v>
      </c>
      <c r="K12" s="553">
        <v>-855000</v>
      </c>
    </row>
    <row r="13" spans="1:20" x14ac:dyDescent="0.25">
      <c r="A13" s="471" t="s">
        <v>1104</v>
      </c>
      <c r="B13" s="472" t="s">
        <v>922</v>
      </c>
      <c r="C13" s="472" t="s">
        <v>923</v>
      </c>
      <c r="D13" s="472" t="s">
        <v>2533</v>
      </c>
      <c r="E13" s="548" t="s">
        <v>196</v>
      </c>
      <c r="F13" s="549"/>
      <c r="G13" s="550">
        <v>-171073.09</v>
      </c>
      <c r="H13" s="550">
        <v>-164147.85</v>
      </c>
      <c r="I13" s="550">
        <v>-199999.99999999499</v>
      </c>
      <c r="J13" s="436">
        <v>-294814.21999999997</v>
      </c>
      <c r="K13" s="553">
        <v>-357000</v>
      </c>
    </row>
    <row r="14" spans="1:20" x14ac:dyDescent="0.25">
      <c r="A14" s="471" t="s">
        <v>1105</v>
      </c>
      <c r="B14" s="472" t="s">
        <v>922</v>
      </c>
      <c r="C14" s="472" t="s">
        <v>923</v>
      </c>
      <c r="D14" s="472" t="s">
        <v>2533</v>
      </c>
      <c r="E14" s="548" t="s">
        <v>197</v>
      </c>
      <c r="F14" s="549"/>
      <c r="G14" s="550">
        <v>-619828.5</v>
      </c>
      <c r="H14" s="550">
        <v>-603607.69999999995</v>
      </c>
      <c r="I14" s="550">
        <v>-1250000</v>
      </c>
      <c r="J14" s="436">
        <v>-762206.14</v>
      </c>
      <c r="K14" s="553">
        <v>-939000</v>
      </c>
    </row>
    <row r="15" spans="1:20" x14ac:dyDescent="0.25">
      <c r="A15" s="471" t="s">
        <v>1106</v>
      </c>
      <c r="B15" s="472" t="s">
        <v>922</v>
      </c>
      <c r="C15" s="472" t="s">
        <v>923</v>
      </c>
      <c r="D15" s="472" t="s">
        <v>2533</v>
      </c>
      <c r="E15" s="548" t="s">
        <v>198</v>
      </c>
      <c r="F15" s="549"/>
      <c r="G15" s="550">
        <v>-1504122.23</v>
      </c>
      <c r="H15" s="550">
        <v>-1627417.53</v>
      </c>
      <c r="I15" s="550">
        <v>-1600000</v>
      </c>
      <c r="J15" s="436">
        <v>-1394183.42</v>
      </c>
      <c r="K15" s="553">
        <v>-1652000</v>
      </c>
    </row>
    <row r="16" spans="1:20" x14ac:dyDescent="0.25">
      <c r="A16" s="471" t="s">
        <v>1107</v>
      </c>
      <c r="B16" s="472" t="s">
        <v>922</v>
      </c>
      <c r="C16" s="472" t="s">
        <v>923</v>
      </c>
      <c r="D16" s="472" t="s">
        <v>2533</v>
      </c>
      <c r="E16" s="548" t="s">
        <v>199</v>
      </c>
      <c r="F16" s="549"/>
      <c r="G16" s="550">
        <v>-8154610.9400000004</v>
      </c>
      <c r="H16" s="550">
        <v>-9577668.4800000004</v>
      </c>
      <c r="I16" s="550">
        <v>-9700000</v>
      </c>
      <c r="J16" s="436">
        <v>-8785679.9900000002</v>
      </c>
      <c r="K16" s="553">
        <v>-11000000</v>
      </c>
    </row>
    <row r="17" spans="1:12" x14ac:dyDescent="0.25">
      <c r="A17" s="471" t="s">
        <v>1108</v>
      </c>
      <c r="B17" s="472" t="s">
        <v>922</v>
      </c>
      <c r="C17" s="472" t="s">
        <v>923</v>
      </c>
      <c r="D17" s="472" t="s">
        <v>2533</v>
      </c>
      <c r="E17" s="555" t="s">
        <v>1671</v>
      </c>
      <c r="F17" s="556"/>
      <c r="G17" s="550">
        <v>-89240.29</v>
      </c>
      <c r="H17" s="550">
        <v>-147297.37</v>
      </c>
      <c r="I17" s="550">
        <v>-199999.999999997</v>
      </c>
      <c r="J17" s="436">
        <v>-33990.720000000001</v>
      </c>
      <c r="K17" s="553">
        <v>0</v>
      </c>
    </row>
    <row r="18" spans="1:12" x14ac:dyDescent="0.25">
      <c r="A18" s="471" t="s">
        <v>1121</v>
      </c>
      <c r="B18" s="472" t="s">
        <v>922</v>
      </c>
      <c r="C18" s="472" t="s">
        <v>923</v>
      </c>
      <c r="D18" s="472" t="s">
        <v>2533</v>
      </c>
      <c r="E18" s="548" t="s">
        <v>213</v>
      </c>
      <c r="F18" s="549"/>
      <c r="G18" s="550">
        <v>176965.55</v>
      </c>
      <c r="H18" s="550">
        <v>135876.81</v>
      </c>
      <c r="I18" s="550">
        <v>199999.999999997</v>
      </c>
      <c r="J18" s="436">
        <v>113030</v>
      </c>
      <c r="K18" s="553">
        <v>151000</v>
      </c>
    </row>
    <row r="19" spans="1:12" x14ac:dyDescent="0.25">
      <c r="A19" s="471" t="s">
        <v>1122</v>
      </c>
      <c r="B19" s="472" t="s">
        <v>922</v>
      </c>
      <c r="C19" s="472" t="s">
        <v>923</v>
      </c>
      <c r="D19" s="472" t="s">
        <v>2533</v>
      </c>
      <c r="E19" s="548" t="s">
        <v>214</v>
      </c>
      <c r="F19" s="549"/>
      <c r="G19" s="550">
        <v>5733879.0999999996</v>
      </c>
      <c r="H19" s="550">
        <v>6800817.8300000001</v>
      </c>
      <c r="I19" s="550">
        <v>7299999.9999999804</v>
      </c>
      <c r="J19" s="436">
        <v>6988202.5</v>
      </c>
      <c r="K19" s="553">
        <v>8500000</v>
      </c>
    </row>
    <row r="20" spans="1:12" x14ac:dyDescent="0.25">
      <c r="A20" s="471" t="s">
        <v>1123</v>
      </c>
      <c r="B20" s="472" t="s">
        <v>922</v>
      </c>
      <c r="C20" s="472" t="s">
        <v>923</v>
      </c>
      <c r="D20" s="472" t="s">
        <v>2533</v>
      </c>
      <c r="E20" s="548" t="s">
        <v>215</v>
      </c>
      <c r="F20" s="549"/>
      <c r="G20" s="550">
        <v>537140</v>
      </c>
      <c r="H20" s="550">
        <v>764858</v>
      </c>
      <c r="I20" s="550">
        <v>899999.99999998999</v>
      </c>
      <c r="J20" s="436">
        <v>453018</v>
      </c>
      <c r="K20" s="553">
        <v>600000</v>
      </c>
    </row>
    <row r="21" spans="1:12" x14ac:dyDescent="0.25">
      <c r="A21" s="471" t="s">
        <v>1469</v>
      </c>
      <c r="B21" s="472" t="s">
        <v>922</v>
      </c>
      <c r="C21" s="472" t="s">
        <v>923</v>
      </c>
      <c r="D21" s="472" t="s">
        <v>2533</v>
      </c>
      <c r="E21" s="548" t="s">
        <v>683</v>
      </c>
      <c r="F21" s="549"/>
      <c r="G21" s="550">
        <v>5419619</v>
      </c>
      <c r="H21" s="550">
        <v>6566815.54</v>
      </c>
      <c r="I21" s="550">
        <v>10500000</v>
      </c>
      <c r="J21" s="436">
        <v>8325794</v>
      </c>
      <c r="K21" s="553">
        <v>10250000</v>
      </c>
    </row>
    <row r="22" spans="1:12" x14ac:dyDescent="0.25">
      <c r="A22" s="471" t="s">
        <v>1470</v>
      </c>
      <c r="B22" s="472" t="s">
        <v>922</v>
      </c>
      <c r="C22" s="472" t="s">
        <v>923</v>
      </c>
      <c r="D22" s="472" t="s">
        <v>2533</v>
      </c>
      <c r="E22" s="548" t="s">
        <v>684</v>
      </c>
      <c r="F22" s="549"/>
      <c r="G22" s="550">
        <v>2287340.39</v>
      </c>
      <c r="H22" s="550">
        <v>2379257.34</v>
      </c>
      <c r="I22" s="550">
        <v>2499999.99999998</v>
      </c>
      <c r="J22" s="436">
        <v>3195473.34</v>
      </c>
      <c r="K22" s="553">
        <v>4800000</v>
      </c>
    </row>
    <row r="23" spans="1:12" x14ac:dyDescent="0.25">
      <c r="A23" s="471" t="s">
        <v>1514</v>
      </c>
      <c r="B23" s="472" t="s">
        <v>922</v>
      </c>
      <c r="C23" s="472" t="s">
        <v>923</v>
      </c>
      <c r="D23" s="472" t="s">
        <v>2533</v>
      </c>
      <c r="E23" s="548" t="s">
        <v>725</v>
      </c>
      <c r="F23" s="549"/>
      <c r="G23" s="550">
        <v>28803425.780000001</v>
      </c>
      <c r="H23" s="550">
        <v>33321246.829999998</v>
      </c>
      <c r="I23" s="550">
        <v>34300000</v>
      </c>
      <c r="J23" s="436">
        <v>30867646.940000001</v>
      </c>
      <c r="K23" s="553">
        <v>36500000</v>
      </c>
    </row>
    <row r="24" spans="1:12" x14ac:dyDescent="0.25">
      <c r="A24" s="471" t="s">
        <v>1515</v>
      </c>
      <c r="B24" s="472" t="s">
        <v>922</v>
      </c>
      <c r="C24" s="472" t="s">
        <v>923</v>
      </c>
      <c r="D24" s="472" t="s">
        <v>2533</v>
      </c>
      <c r="E24" s="548" t="s">
        <v>726</v>
      </c>
      <c r="F24" s="549"/>
      <c r="G24" s="550">
        <v>1079488.8</v>
      </c>
      <c r="H24" s="550">
        <v>1394878.33</v>
      </c>
      <c r="I24" s="550">
        <v>1400000</v>
      </c>
      <c r="J24" s="436">
        <v>1647116.01</v>
      </c>
      <c r="K24" s="553">
        <v>1980000</v>
      </c>
    </row>
    <row r="25" spans="1:12" x14ac:dyDescent="0.25">
      <c r="A25" s="471" t="s">
        <v>1516</v>
      </c>
      <c r="B25" s="472" t="s">
        <v>922</v>
      </c>
      <c r="C25" s="472" t="s">
        <v>923</v>
      </c>
      <c r="D25" s="472" t="s">
        <v>2533</v>
      </c>
      <c r="E25" s="548" t="s">
        <v>727</v>
      </c>
      <c r="F25" s="549"/>
      <c r="G25" s="550">
        <v>6172310.8099999996</v>
      </c>
      <c r="H25" s="550">
        <v>4617057.9800000004</v>
      </c>
      <c r="I25" s="550">
        <v>5299999.9999999898</v>
      </c>
      <c r="J25" s="436">
        <v>1034990.96</v>
      </c>
      <c r="K25" s="553">
        <v>1202000</v>
      </c>
    </row>
    <row r="26" spans="1:12" x14ac:dyDescent="0.25">
      <c r="A26" s="471" t="s">
        <v>1517</v>
      </c>
      <c r="B26" s="472" t="s">
        <v>922</v>
      </c>
      <c r="C26" s="472" t="s">
        <v>923</v>
      </c>
      <c r="D26" s="472" t="s">
        <v>2533</v>
      </c>
      <c r="E26" s="548" t="s">
        <v>728</v>
      </c>
      <c r="F26" s="549"/>
      <c r="G26" s="550">
        <v>161199697.06</v>
      </c>
      <c r="H26" s="550">
        <v>179798752.49000001</v>
      </c>
      <c r="I26" s="550">
        <v>315100000</v>
      </c>
      <c r="J26" s="436">
        <v>260529995.65000001</v>
      </c>
      <c r="K26" s="553">
        <v>314000000</v>
      </c>
    </row>
    <row r="27" spans="1:12" x14ac:dyDescent="0.25">
      <c r="A27" s="471" t="s">
        <v>1518</v>
      </c>
      <c r="B27" s="472" t="s">
        <v>922</v>
      </c>
      <c r="C27" s="472" t="s">
        <v>923</v>
      </c>
      <c r="D27" s="472" t="s">
        <v>2533</v>
      </c>
      <c r="E27" s="548" t="s">
        <v>729</v>
      </c>
      <c r="F27" s="549"/>
      <c r="G27" s="550">
        <v>5646116.9800000004</v>
      </c>
      <c r="H27" s="550">
        <v>6695984.21</v>
      </c>
      <c r="I27" s="550">
        <v>6999999.9999999898</v>
      </c>
      <c r="J27" s="436">
        <v>6225647.25</v>
      </c>
      <c r="K27" s="553">
        <v>7327000</v>
      </c>
    </row>
    <row r="28" spans="1:12" x14ac:dyDescent="0.25">
      <c r="A28" s="471" t="s">
        <v>1519</v>
      </c>
      <c r="B28" s="472" t="s">
        <v>922</v>
      </c>
      <c r="C28" s="472" t="s">
        <v>923</v>
      </c>
      <c r="D28" s="472" t="s">
        <v>2533</v>
      </c>
      <c r="E28" s="548" t="s">
        <v>730</v>
      </c>
      <c r="F28" s="549"/>
      <c r="G28" s="550">
        <v>22115759.140000001</v>
      </c>
      <c r="H28" s="550">
        <v>24788679.289999999</v>
      </c>
      <c r="I28" s="550">
        <v>46800000</v>
      </c>
      <c r="J28" s="436">
        <v>40576074.850000001</v>
      </c>
      <c r="K28" s="553">
        <v>48159000</v>
      </c>
    </row>
    <row r="29" spans="1:12" x14ac:dyDescent="0.25">
      <c r="A29" s="471" t="s">
        <v>1520</v>
      </c>
      <c r="B29" s="35" t="s">
        <v>922</v>
      </c>
      <c r="C29" s="35" t="s">
        <v>923</v>
      </c>
      <c r="D29" s="472" t="s">
        <v>2533</v>
      </c>
      <c r="E29" s="548" t="s">
        <v>731</v>
      </c>
      <c r="F29" s="549"/>
      <c r="G29" s="550">
        <v>780387.44</v>
      </c>
      <c r="H29" s="550">
        <v>516002.58</v>
      </c>
      <c r="I29" s="550">
        <v>599999.99999998196</v>
      </c>
      <c r="J29" s="436">
        <v>1962775.55</v>
      </c>
      <c r="K29" s="553">
        <v>862000</v>
      </c>
    </row>
    <row r="30" spans="1:12" x14ac:dyDescent="0.25">
      <c r="A30" s="471" t="s">
        <v>1521</v>
      </c>
      <c r="B30" s="472" t="s">
        <v>922</v>
      </c>
      <c r="C30" s="472" t="s">
        <v>923</v>
      </c>
      <c r="D30" s="472" t="s">
        <v>2533</v>
      </c>
      <c r="E30" s="548" t="s">
        <v>732</v>
      </c>
      <c r="F30" s="549"/>
      <c r="G30" s="550">
        <v>234599.4</v>
      </c>
      <c r="H30" s="550">
        <v>178250.91</v>
      </c>
      <c r="I30" s="550">
        <v>399999.999999994</v>
      </c>
      <c r="J30" s="436">
        <v>337422.05</v>
      </c>
      <c r="K30" s="553">
        <v>411000</v>
      </c>
    </row>
    <row r="31" spans="1:12" x14ac:dyDescent="0.25">
      <c r="A31" s="471" t="s">
        <v>1522</v>
      </c>
      <c r="B31" s="472" t="s">
        <v>922</v>
      </c>
      <c r="C31" s="472" t="s">
        <v>923</v>
      </c>
      <c r="D31" s="472" t="s">
        <v>2533</v>
      </c>
      <c r="E31" s="548" t="s">
        <v>733</v>
      </c>
      <c r="F31" s="549"/>
      <c r="G31" s="550">
        <v>650769.47</v>
      </c>
      <c r="H31" s="550">
        <v>625566.81999999995</v>
      </c>
      <c r="I31" s="550">
        <v>1350000</v>
      </c>
      <c r="J31" s="436">
        <v>783949.58</v>
      </c>
      <c r="K31" s="553">
        <v>966000</v>
      </c>
    </row>
    <row r="32" spans="1:12" x14ac:dyDescent="0.25">
      <c r="A32" s="471" t="s">
        <v>1524</v>
      </c>
      <c r="B32" s="472" t="s">
        <v>922</v>
      </c>
      <c r="C32" s="472" t="s">
        <v>923</v>
      </c>
      <c r="D32" s="472" t="s">
        <v>2533</v>
      </c>
      <c r="E32" s="548" t="s">
        <v>734</v>
      </c>
      <c r="F32" s="549"/>
      <c r="G32" s="550">
        <v>1576511.28</v>
      </c>
      <c r="H32" s="550">
        <v>1693233.32</v>
      </c>
      <c r="I32" s="550">
        <v>1700000</v>
      </c>
      <c r="J32" s="436">
        <v>1449034.01</v>
      </c>
      <c r="K32" s="553">
        <v>1716000</v>
      </c>
      <c r="L32" s="105"/>
    </row>
    <row r="33" spans="1:26" x14ac:dyDescent="0.25">
      <c r="A33" s="471" t="s">
        <v>1525</v>
      </c>
      <c r="B33" s="472" t="s">
        <v>922</v>
      </c>
      <c r="C33" s="472" t="s">
        <v>923</v>
      </c>
      <c r="D33" s="472" t="s">
        <v>2533</v>
      </c>
      <c r="E33" s="548" t="s">
        <v>735</v>
      </c>
      <c r="F33" s="549"/>
      <c r="G33" s="550">
        <v>9916638.8399999999</v>
      </c>
      <c r="H33" s="550">
        <v>11565783.83</v>
      </c>
      <c r="I33" s="550">
        <v>11700000</v>
      </c>
      <c r="J33" s="436">
        <v>10731614.630000001</v>
      </c>
      <c r="K33" s="553">
        <v>13500000</v>
      </c>
      <c r="L33" s="105"/>
    </row>
    <row r="34" spans="1:26" x14ac:dyDescent="0.25">
      <c r="A34" s="471" t="s">
        <v>1526</v>
      </c>
      <c r="B34" s="472" t="s">
        <v>922</v>
      </c>
      <c r="C34" s="472" t="s">
        <v>923</v>
      </c>
      <c r="D34" s="472" t="s">
        <v>2533</v>
      </c>
      <c r="E34" s="548" t="s">
        <v>1674</v>
      </c>
      <c r="F34" s="549"/>
      <c r="G34" s="550">
        <v>89739.42</v>
      </c>
      <c r="H34" s="550">
        <v>148034.46</v>
      </c>
      <c r="I34" s="550">
        <v>249999.999999997</v>
      </c>
      <c r="J34" s="436">
        <v>33990.78</v>
      </c>
      <c r="K34" s="557"/>
    </row>
    <row r="35" spans="1:26" x14ac:dyDescent="0.25">
      <c r="E35" s="501" t="s">
        <v>2455</v>
      </c>
      <c r="F35" s="501"/>
      <c r="G35" s="502">
        <f>SUM(G6:G34)</f>
        <v>51570402.430000037</v>
      </c>
      <c r="H35" s="502">
        <f t="shared" ref="H35:K35" si="0">SUM(H6:H34)</f>
        <v>59374117.630000032</v>
      </c>
      <c r="I35" s="502">
        <f t="shared" si="0"/>
        <v>90749999.99999997</v>
      </c>
      <c r="J35" s="502">
        <f t="shared" si="0"/>
        <v>79017049.23999989</v>
      </c>
      <c r="K35" s="558">
        <f t="shared" si="0"/>
        <v>93862000</v>
      </c>
    </row>
    <row r="36" spans="1:26" x14ac:dyDescent="0.25">
      <c r="J36" s="481"/>
      <c r="K36" s="482"/>
    </row>
    <row r="37" spans="1:26" ht="15.75" x14ac:dyDescent="0.25">
      <c r="A37" s="471" t="s">
        <v>1575</v>
      </c>
      <c r="B37" s="493" t="s">
        <v>922</v>
      </c>
      <c r="C37" s="493" t="s">
        <v>923</v>
      </c>
      <c r="D37" s="493" t="s">
        <v>2545</v>
      </c>
      <c r="E37" s="548" t="s">
        <v>813</v>
      </c>
      <c r="F37" s="549"/>
      <c r="G37" s="550">
        <v>0</v>
      </c>
      <c r="H37" s="550">
        <v>72261739.390000001</v>
      </c>
      <c r="I37" s="550">
        <v>75000000</v>
      </c>
      <c r="J37" s="436">
        <v>29675732.300000001</v>
      </c>
      <c r="K37" s="553">
        <v>50000000</v>
      </c>
      <c r="P37" s="559" t="s">
        <v>2504</v>
      </c>
    </row>
    <row r="38" spans="1:26" ht="15.75" thickBot="1" x14ac:dyDescent="0.3">
      <c r="A38" s="471" t="s">
        <v>1577</v>
      </c>
      <c r="B38" s="472" t="s">
        <v>922</v>
      </c>
      <c r="C38" s="472" t="s">
        <v>923</v>
      </c>
      <c r="D38" s="493" t="s">
        <v>2545</v>
      </c>
      <c r="E38" s="548" t="s">
        <v>815</v>
      </c>
      <c r="F38" s="549"/>
      <c r="G38" s="550">
        <v>0</v>
      </c>
      <c r="H38" s="550">
        <v>32834754.280000001</v>
      </c>
      <c r="I38" s="550">
        <v>25000000</v>
      </c>
      <c r="J38" s="436">
        <v>20342362.559999999</v>
      </c>
      <c r="K38" s="553">
        <v>20000000</v>
      </c>
    </row>
    <row r="39" spans="1:26" x14ac:dyDescent="0.25">
      <c r="E39" s="501" t="s">
        <v>2455</v>
      </c>
      <c r="F39" s="501"/>
      <c r="G39" s="502">
        <f>SUM(G37:G38)</f>
        <v>0</v>
      </c>
      <c r="H39" s="502">
        <f>SUM(H37:H38)</f>
        <v>105096493.67</v>
      </c>
      <c r="I39" s="502">
        <f>SUM(I37:I38)</f>
        <v>100000000</v>
      </c>
      <c r="J39" s="503">
        <f>SUM(J37:J38)</f>
        <v>50018094.859999999</v>
      </c>
      <c r="K39" s="504">
        <f>SUM(K37:K38)</f>
        <v>70000000</v>
      </c>
      <c r="P39" s="560" t="s">
        <v>2546</v>
      </c>
      <c r="Q39" s="561"/>
      <c r="R39" s="561"/>
      <c r="S39" s="562">
        <v>-13.679</v>
      </c>
      <c r="T39" s="563" t="s">
        <v>2547</v>
      </c>
    </row>
    <row r="40" spans="1:26" x14ac:dyDescent="0.25">
      <c r="J40" s="481"/>
      <c r="K40" s="482"/>
      <c r="P40" s="564" t="s">
        <v>2548</v>
      </c>
      <c r="Q40" s="565"/>
      <c r="R40" s="565"/>
      <c r="S40" s="566">
        <v>-9.5</v>
      </c>
      <c r="T40" s="567" t="s">
        <v>2547</v>
      </c>
    </row>
    <row r="41" spans="1:26" x14ac:dyDescent="0.25">
      <c r="A41" s="471" t="s">
        <v>1407</v>
      </c>
      <c r="B41" s="472" t="s">
        <v>922</v>
      </c>
      <c r="C41" s="472" t="s">
        <v>920</v>
      </c>
      <c r="D41" s="493" t="s">
        <v>2549</v>
      </c>
      <c r="E41" s="548" t="s">
        <v>548</v>
      </c>
      <c r="F41" s="549"/>
      <c r="G41" s="550">
        <v>-25227963.030000001</v>
      </c>
      <c r="H41" s="550">
        <v>-20058174.600000001</v>
      </c>
      <c r="I41" s="550">
        <v>-20953733.333333299</v>
      </c>
      <c r="J41" s="436">
        <v>-9770340.5199999996</v>
      </c>
      <c r="K41" s="568">
        <v>-48000000</v>
      </c>
      <c r="L41" s="485" t="s">
        <v>2550</v>
      </c>
      <c r="P41" s="564" t="s">
        <v>2551</v>
      </c>
      <c r="Q41" s="565"/>
      <c r="R41" s="565"/>
      <c r="S41" s="566">
        <v>-4.0289999999999999</v>
      </c>
      <c r="T41" s="567" t="s">
        <v>2547</v>
      </c>
    </row>
    <row r="42" spans="1:26" ht="51" customHeight="1" thickBot="1" x14ac:dyDescent="0.3">
      <c r="A42" s="471" t="s">
        <v>1408</v>
      </c>
      <c r="B42" s="493" t="s">
        <v>922</v>
      </c>
      <c r="C42" s="472" t="s">
        <v>920</v>
      </c>
      <c r="D42" s="493" t="s">
        <v>2549</v>
      </c>
      <c r="E42" s="548" t="s">
        <v>549</v>
      </c>
      <c r="F42" s="549"/>
      <c r="G42" s="550">
        <v>-1575562.45</v>
      </c>
      <c r="H42" s="550">
        <v>-1580147.19</v>
      </c>
      <c r="I42" s="550">
        <v>0</v>
      </c>
      <c r="J42" s="436">
        <v>-2274114.71</v>
      </c>
      <c r="K42" s="553">
        <v>0</v>
      </c>
      <c r="L42" s="104"/>
      <c r="P42" s="569" t="s">
        <v>2552</v>
      </c>
      <c r="Q42" s="570" t="s">
        <v>2553</v>
      </c>
      <c r="R42" s="570"/>
      <c r="S42" s="571">
        <v>-4.0460000000000003</v>
      </c>
      <c r="T42" s="572" t="s">
        <v>2547</v>
      </c>
    </row>
    <row r="43" spans="1:26" x14ac:dyDescent="0.25">
      <c r="A43" s="471" t="s">
        <v>1576</v>
      </c>
      <c r="B43" s="493" t="s">
        <v>922</v>
      </c>
      <c r="C43" s="493" t="s">
        <v>920</v>
      </c>
      <c r="D43" s="493" t="s">
        <v>2549</v>
      </c>
      <c r="E43" s="548" t="s">
        <v>814</v>
      </c>
      <c r="F43" s="549"/>
      <c r="G43" s="550">
        <v>0</v>
      </c>
      <c r="H43" s="550">
        <v>85053975.120000005</v>
      </c>
      <c r="I43" s="550">
        <v>70000000</v>
      </c>
      <c r="J43" s="436">
        <v>59369970.039999999</v>
      </c>
      <c r="K43" s="553">
        <v>60000000</v>
      </c>
      <c r="L43" s="105"/>
    </row>
    <row r="44" spans="1:26" ht="15.75" thickBot="1" x14ac:dyDescent="0.3">
      <c r="E44" s="501" t="s">
        <v>2455</v>
      </c>
      <c r="F44" s="501"/>
      <c r="G44" s="502">
        <f>SUM(G41:G43)</f>
        <v>-26803525.48</v>
      </c>
      <c r="H44" s="502">
        <f>SUM(H41:H43)</f>
        <v>63415653.329999998</v>
      </c>
      <c r="I44" s="502">
        <f>SUM(I41:I43)</f>
        <v>49046266.666666701</v>
      </c>
      <c r="J44" s="503">
        <f>SUM(J41:J43)</f>
        <v>47325514.810000002</v>
      </c>
      <c r="K44" s="504">
        <f>SUM(K41:K43)</f>
        <v>12000000</v>
      </c>
    </row>
    <row r="45" spans="1:26" ht="15.75" thickTop="1" x14ac:dyDescent="0.25">
      <c r="K45" s="573"/>
      <c r="P45" s="574" t="s">
        <v>2554</v>
      </c>
      <c r="Q45" s="575" t="s">
        <v>2555</v>
      </c>
      <c r="R45" s="576" t="s">
        <v>8</v>
      </c>
      <c r="S45" s="577" t="s">
        <v>2556</v>
      </c>
      <c r="T45" s="578" t="s">
        <v>2557</v>
      </c>
      <c r="U45" s="579" t="s">
        <v>2558</v>
      </c>
      <c r="V45" s="579" t="s">
        <v>2559</v>
      </c>
      <c r="W45" s="580"/>
      <c r="X45" s="581" t="s">
        <v>2560</v>
      </c>
    </row>
    <row r="46" spans="1:26" ht="15.75" thickBot="1" x14ac:dyDescent="0.3">
      <c r="G46" s="67"/>
      <c r="H46" s="67" t="s">
        <v>2561</v>
      </c>
      <c r="I46" s="67">
        <f>+I41</f>
        <v>-20953733.333333299</v>
      </c>
      <c r="J46" s="67"/>
      <c r="K46" s="201">
        <f>+K41</f>
        <v>-48000000</v>
      </c>
      <c r="P46" s="582" t="s">
        <v>2562</v>
      </c>
      <c r="Q46" s="583" t="s">
        <v>2563</v>
      </c>
      <c r="R46" s="584" t="s">
        <v>2564</v>
      </c>
      <c r="S46" s="585"/>
      <c r="T46" s="586"/>
      <c r="U46" s="587" t="s">
        <v>2565</v>
      </c>
      <c r="V46" s="588" t="s">
        <v>2566</v>
      </c>
      <c r="W46" s="589"/>
      <c r="X46" s="590" t="s">
        <v>2567</v>
      </c>
    </row>
    <row r="47" spans="1:26" ht="15.75" thickBot="1" x14ac:dyDescent="0.3">
      <c r="H47" s="591" t="s">
        <v>2568</v>
      </c>
      <c r="I47" s="592">
        <v>5500000</v>
      </c>
      <c r="P47" s="593" t="s">
        <v>2569</v>
      </c>
      <c r="Q47" s="594" t="s">
        <v>2570</v>
      </c>
      <c r="R47" s="595">
        <v>11243.175999999999</v>
      </c>
      <c r="S47" s="596">
        <v>12286.704311377245</v>
      </c>
      <c r="T47" s="597">
        <v>20954</v>
      </c>
      <c r="U47" s="598">
        <v>8667.2956886227548</v>
      </c>
      <c r="V47" s="599">
        <v>1.7054207107919908</v>
      </c>
      <c r="W47" s="600"/>
      <c r="X47" s="601" t="s">
        <v>2571</v>
      </c>
      <c r="Y47" s="602">
        <v>5.4539999999999997</v>
      </c>
      <c r="Z47" s="601" t="s">
        <v>2547</v>
      </c>
    </row>
    <row r="49" spans="8:13" x14ac:dyDescent="0.25">
      <c r="H49" s="603" t="s">
        <v>2572</v>
      </c>
      <c r="I49" s="201">
        <f>+I46+I47</f>
        <v>-15453733.333333299</v>
      </c>
    </row>
    <row r="51" spans="8:13" x14ac:dyDescent="0.25">
      <c r="I51" s="603" t="s">
        <v>2573</v>
      </c>
      <c r="J51" s="603"/>
      <c r="K51" s="532">
        <f>-K46+I49</f>
        <v>32546266.666666701</v>
      </c>
      <c r="L51" s="531" t="s">
        <v>2574</v>
      </c>
      <c r="M51" s="544"/>
    </row>
    <row r="52" spans="8:13" x14ac:dyDescent="0.25">
      <c r="K52" s="532">
        <f>+K51</f>
        <v>32546266.666666701</v>
      </c>
      <c r="L52" s="531" t="s">
        <v>2575</v>
      </c>
      <c r="M52" s="531"/>
    </row>
    <row r="53" spans="8:13" ht="15.75" thickBot="1" x14ac:dyDescent="0.3"/>
    <row r="54" spans="8:13" ht="15.75" thickBot="1" x14ac:dyDescent="0.3">
      <c r="H54" s="533" t="s">
        <v>2513</v>
      </c>
      <c r="I54" s="534"/>
      <c r="J54" s="535">
        <v>18000000</v>
      </c>
    </row>
    <row r="55" spans="8:13" x14ac:dyDescent="0.25">
      <c r="H55" s="536" t="s">
        <v>2576</v>
      </c>
      <c r="I55" s="536"/>
      <c r="J55" s="537">
        <f>-(K46+J54)</f>
        <v>30000000</v>
      </c>
    </row>
    <row r="56" spans="8:13" x14ac:dyDescent="0.25">
      <c r="H56" s="507"/>
      <c r="I56" s="507" t="s">
        <v>2577</v>
      </c>
      <c r="J56" s="507">
        <v>27000000</v>
      </c>
    </row>
    <row r="57" spans="8:13" x14ac:dyDescent="0.25">
      <c r="H57" s="507"/>
      <c r="I57" s="507" t="s">
        <v>2578</v>
      </c>
      <c r="J57" s="507">
        <f>J55-J56</f>
        <v>3000000</v>
      </c>
    </row>
    <row r="58" spans="8:13" x14ac:dyDescent="0.25">
      <c r="H58" s="604"/>
      <c r="I58" s="605" t="s">
        <v>2579</v>
      </c>
      <c r="J58" s="606">
        <f>J55+I49</f>
        <v>14546266.666666701</v>
      </c>
    </row>
  </sheetData>
  <mergeCells count="36">
    <mergeCell ref="E38:F38"/>
    <mergeCell ref="E41:F41"/>
    <mergeCell ref="E42:F42"/>
    <mergeCell ref="Q42:R42"/>
    <mergeCell ref="E43:F43"/>
    <mergeCell ref="T45:T46"/>
    <mergeCell ref="E30:F30"/>
    <mergeCell ref="E31:F31"/>
    <mergeCell ref="E32:F32"/>
    <mergeCell ref="E33:F33"/>
    <mergeCell ref="E34:F34"/>
    <mergeCell ref="E37:F37"/>
    <mergeCell ref="E24:F24"/>
    <mergeCell ref="E25:F25"/>
    <mergeCell ref="E26:F26"/>
    <mergeCell ref="E27:F27"/>
    <mergeCell ref="E28:F28"/>
    <mergeCell ref="E29:F29"/>
    <mergeCell ref="E18:F18"/>
    <mergeCell ref="E19:F19"/>
    <mergeCell ref="E20:F20"/>
    <mergeCell ref="E21:F21"/>
    <mergeCell ref="E22:F22"/>
    <mergeCell ref="E23:F23"/>
    <mergeCell ref="E12:F12"/>
    <mergeCell ref="E13:F13"/>
    <mergeCell ref="E14:F14"/>
    <mergeCell ref="E15:F15"/>
    <mergeCell ref="E16:F16"/>
    <mergeCell ref="E17:F17"/>
    <mergeCell ref="E6:F6"/>
    <mergeCell ref="E7:F7"/>
    <mergeCell ref="E8:F8"/>
    <mergeCell ref="E9:F9"/>
    <mergeCell ref="E10:F10"/>
    <mergeCell ref="E11:F11"/>
  </mergeCells>
  <conditionalFormatting sqref="G5:I5">
    <cfRule type="expression" dxfId="129" priority="55">
      <formula>AND(#REF!=0,#REF!=1,LEFT($A5,1)="A")</formula>
    </cfRule>
    <cfRule type="expression" dxfId="128" priority="56">
      <formula>#REF!=3</formula>
    </cfRule>
    <cfRule type="expression" dxfId="127" priority="57">
      <formula>#REF!=2</formula>
    </cfRule>
    <cfRule type="expression" dxfId="126" priority="58">
      <formula>AND(#REF!=1,OR(#REF!&lt;&gt;0,LEFT($A5,1)="I",LEFT($A5,1)="C",RIGHT($A5,1)="X"))</formula>
    </cfRule>
    <cfRule type="expression" dxfId="125" priority="59">
      <formula>#REF!=0</formula>
    </cfRule>
  </conditionalFormatting>
  <conditionalFormatting sqref="E5">
    <cfRule type="expression" dxfId="124" priority="60">
      <formula>AND(#REF!=0,#REF!=1,LEFT($A6,1)="A")</formula>
    </cfRule>
    <cfRule type="expression" dxfId="123" priority="61">
      <formula>#REF!=3</formula>
    </cfRule>
    <cfRule type="expression" dxfId="122" priority="62">
      <formula>#REF!=2</formula>
    </cfRule>
    <cfRule type="expression" dxfId="121" priority="63">
      <formula>AND(#REF!=1,OR(#REF!&lt;&gt;0,LEFT($A6,1)="I",LEFT($A6,1)="C",RIGHT($A6,1)="X"))</formula>
    </cfRule>
    <cfRule type="expression" dxfId="120" priority="64">
      <formula>#REF!=0</formula>
    </cfRule>
  </conditionalFormatting>
  <conditionalFormatting sqref="J5">
    <cfRule type="expression" dxfId="119" priority="50">
      <formula>AND(#REF!=0,#REF!=1,LEFT($A5,1)="A")</formula>
    </cfRule>
    <cfRule type="expression" dxfId="118" priority="51">
      <formula>#REF!=3</formula>
    </cfRule>
    <cfRule type="expression" dxfId="117" priority="52">
      <formula>#REF!=2</formula>
    </cfRule>
    <cfRule type="expression" dxfId="116" priority="53">
      <formula>AND(#REF!=1,OR(#REF!&lt;&gt;0,LEFT($A5,1)="I",LEFT($A5,1)="C",RIGHT($A5,1)="X"))</formula>
    </cfRule>
    <cfRule type="expression" dxfId="115" priority="54">
      <formula>#REF!=0</formula>
    </cfRule>
  </conditionalFormatting>
  <conditionalFormatting sqref="K5">
    <cfRule type="expression" dxfId="114" priority="45">
      <formula>AND(#REF!=0,#REF!=1,LEFT($A5,1)="A")</formula>
    </cfRule>
    <cfRule type="expression" dxfId="113" priority="46">
      <formula>#REF!=3</formula>
    </cfRule>
    <cfRule type="expression" dxfId="112" priority="47">
      <formula>#REF!=2</formula>
    </cfRule>
    <cfRule type="expression" dxfId="111" priority="48">
      <formula>AND(#REF!=1,OR(#REF!&lt;&gt;0,LEFT($A5,1)="I",LEFT($A5,1)="C",RIGHT($A5,1)="X"))</formula>
    </cfRule>
    <cfRule type="expression" dxfId="110" priority="49">
      <formula>#REF!=0</formula>
    </cfRule>
  </conditionalFormatting>
  <conditionalFormatting sqref="K6:K33 G6:I34 E6:E34">
    <cfRule type="expression" dxfId="109" priority="40">
      <formula>AND(#REF!=0,#REF!=1,LEFT($A6,1)="A")</formula>
    </cfRule>
    <cfRule type="expression" dxfId="108" priority="41">
      <formula>#REF!=3</formula>
    </cfRule>
    <cfRule type="expression" dxfId="107" priority="42">
      <formula>#REF!=2</formula>
    </cfRule>
    <cfRule type="expression" dxfId="106" priority="43">
      <formula>AND(#REF!=1,OR(#REF!&lt;&gt;0,LEFT($A6,1)="I",LEFT($A6,1)="C",RIGHT($A6,1)="X"))</formula>
    </cfRule>
    <cfRule type="expression" dxfId="105" priority="44">
      <formula>#REF!=0</formula>
    </cfRule>
  </conditionalFormatting>
  <conditionalFormatting sqref="J6:J17">
    <cfRule type="expression" dxfId="104" priority="34">
      <formula>AND($D6=0,$C6=1,LEFT($E6,1)="A")</formula>
    </cfRule>
    <cfRule type="expression" dxfId="103" priority="36">
      <formula>$C6=3</formula>
    </cfRule>
    <cfRule type="expression" dxfId="102" priority="37">
      <formula>$C6=2</formula>
    </cfRule>
    <cfRule type="expression" dxfId="101" priority="38">
      <formula>AND($C6=1,OR($D6&lt;&gt;0,LEFT($E6,1)="I",LEFT($E6,1)="C",RIGHT($E6,1)="X"))</formula>
    </cfRule>
    <cfRule type="expression" dxfId="100" priority="39">
      <formula>$C6=0</formula>
    </cfRule>
  </conditionalFormatting>
  <conditionalFormatting sqref="J6:J17">
    <cfRule type="expression" dxfId="99" priority="35">
      <formula>$C6=4</formula>
    </cfRule>
  </conditionalFormatting>
  <conditionalFormatting sqref="J18:J34">
    <cfRule type="expression" dxfId="98" priority="28">
      <formula>AND($D18=0,$C18=1,LEFT($E18,1)="A")</formula>
    </cfRule>
    <cfRule type="expression" dxfId="97" priority="30">
      <formula>$C18=3</formula>
    </cfRule>
    <cfRule type="expression" dxfId="96" priority="31">
      <formula>$C18=2</formula>
    </cfRule>
    <cfRule type="expression" dxfId="95" priority="32">
      <formula>AND($C18=1,OR($D18&lt;&gt;0,LEFT($E18,1)="I",LEFT($E18,1)="C",RIGHT($E18,1)="X"))</formula>
    </cfRule>
    <cfRule type="expression" dxfId="94" priority="33">
      <formula>$C18=0</formula>
    </cfRule>
  </conditionalFormatting>
  <conditionalFormatting sqref="J18:J34">
    <cfRule type="expression" dxfId="93" priority="29">
      <formula>$C18=4</formula>
    </cfRule>
  </conditionalFormatting>
  <conditionalFormatting sqref="E37 K37:K38 G37:I37">
    <cfRule type="expression" dxfId="92" priority="23">
      <formula>AND(#REF!=0,#REF!=1,LEFT($A37,1)="A")</formula>
    </cfRule>
    <cfRule type="expression" dxfId="91" priority="24">
      <formula>#REF!=3</formula>
    </cfRule>
    <cfRule type="expression" dxfId="90" priority="25">
      <formula>#REF!=2</formula>
    </cfRule>
    <cfRule type="expression" dxfId="89" priority="26">
      <formula>AND(#REF!=1,OR(#REF!&lt;&gt;0,LEFT($A37,1)="I",LEFT($A37,1)="C",RIGHT($A37,1)="X"))</formula>
    </cfRule>
    <cfRule type="expression" dxfId="88" priority="27">
      <formula>#REF!=0</formula>
    </cfRule>
  </conditionalFormatting>
  <conditionalFormatting sqref="G38:I38 E38">
    <cfRule type="expression" dxfId="87" priority="18">
      <formula>AND(#REF!=0,#REF!=1,LEFT($A38,1)="A")</formula>
    </cfRule>
    <cfRule type="expression" dxfId="86" priority="19">
      <formula>#REF!=3</formula>
    </cfRule>
    <cfRule type="expression" dxfId="85" priority="20">
      <formula>#REF!=2</formula>
    </cfRule>
    <cfRule type="expression" dxfId="84" priority="21">
      <formula>AND(#REF!=1,OR(#REF!&lt;&gt;0,LEFT($A38,1)="I",LEFT($A38,1)="C",RIGHT($A38,1)="X"))</formula>
    </cfRule>
    <cfRule type="expression" dxfId="83" priority="22">
      <formula>#REF!=0</formula>
    </cfRule>
  </conditionalFormatting>
  <conditionalFormatting sqref="J37:J38">
    <cfRule type="expression" dxfId="82" priority="12">
      <formula>AND($D37=0,$C37=1,LEFT($E37,1)="A")</formula>
    </cfRule>
    <cfRule type="expression" dxfId="81" priority="14">
      <formula>$C37=3</formula>
    </cfRule>
    <cfRule type="expression" dxfId="80" priority="15">
      <formula>$C37=2</formula>
    </cfRule>
    <cfRule type="expression" dxfId="79" priority="16">
      <formula>AND($C37=1,OR($D37&lt;&gt;0,LEFT($E37,1)="I",LEFT($E37,1)="C",RIGHT($E37,1)="X"))</formula>
    </cfRule>
    <cfRule type="expression" dxfId="78" priority="17">
      <formula>$C37=0</formula>
    </cfRule>
  </conditionalFormatting>
  <conditionalFormatting sqref="J37:J38">
    <cfRule type="expression" dxfId="77" priority="13">
      <formula>$C37=4</formula>
    </cfRule>
  </conditionalFormatting>
  <conditionalFormatting sqref="G41:I43 K41:K43 E41:E43">
    <cfRule type="expression" dxfId="76" priority="7">
      <formula>AND(#REF!=0,#REF!=1,LEFT($A41,1)="A")</formula>
    </cfRule>
    <cfRule type="expression" dxfId="75" priority="8">
      <formula>#REF!=3</formula>
    </cfRule>
    <cfRule type="expression" dxfId="74" priority="9">
      <formula>#REF!=2</formula>
    </cfRule>
    <cfRule type="expression" dxfId="73" priority="10">
      <formula>AND(#REF!=1,OR(#REF!&lt;&gt;0,LEFT($A41,1)="I",LEFT($A41,1)="C",RIGHT($A41,1)="X"))</formula>
    </cfRule>
    <cfRule type="expression" dxfId="72" priority="11">
      <formula>#REF!=0</formula>
    </cfRule>
  </conditionalFormatting>
  <conditionalFormatting sqref="J41:J43">
    <cfRule type="expression" dxfId="71" priority="1">
      <formula>AND($D41=0,$C41=1,LEFT($E41,1)="A")</formula>
    </cfRule>
    <cfRule type="expression" dxfId="70" priority="3">
      <formula>$C41=3</formula>
    </cfRule>
    <cfRule type="expression" dxfId="69" priority="4">
      <formula>$C41=2</formula>
    </cfRule>
    <cfRule type="expression" dxfId="68" priority="5">
      <formula>AND($C41=1,OR($D41&lt;&gt;0,LEFT($E41,1)="I",LEFT($E41,1)="C",RIGHT($E41,1)="X"))</formula>
    </cfRule>
    <cfRule type="expression" dxfId="67" priority="6">
      <formula>$C41=0</formula>
    </cfRule>
  </conditionalFormatting>
  <conditionalFormatting sqref="J41:J43">
    <cfRule type="expression" dxfId="66" priority="2">
      <formula>$C41=4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5327D-E441-45F0-875E-DAD575FFED69}">
  <dimension ref="A1:W33"/>
  <sheetViews>
    <sheetView topLeftCell="D1" zoomScale="130" zoomScaleNormal="130" workbookViewId="0">
      <pane ySplit="5" topLeftCell="A18" activePane="bottomLeft" state="frozen"/>
      <selection pane="bottomLeft" activeCell="O23" sqref="O23"/>
    </sheetView>
  </sheetViews>
  <sheetFormatPr defaultRowHeight="15" x14ac:dyDescent="0.25"/>
  <cols>
    <col min="1" max="1" width="14.7109375" style="330" customWidth="1"/>
    <col min="2" max="2" width="43.7109375" style="330" customWidth="1"/>
    <col min="3" max="3" width="21.7109375" style="330" customWidth="1"/>
    <col min="4" max="4" width="22" style="330" customWidth="1"/>
    <col min="5" max="10" width="14.7109375" style="330" customWidth="1"/>
    <col min="11" max="11" width="21.7109375" style="330" customWidth="1"/>
    <col min="12" max="12" width="10.5703125" style="330" bestFit="1" customWidth="1"/>
    <col min="13" max="13" width="9.140625" style="330"/>
    <col min="14" max="14" width="10.28515625" style="330" bestFit="1" customWidth="1"/>
    <col min="15" max="15" width="11.28515625" style="330" bestFit="1" customWidth="1"/>
    <col min="16" max="22" width="9.140625" style="330"/>
    <col min="23" max="23" width="10.7109375" style="330" bestFit="1" customWidth="1"/>
    <col min="24" max="16384" width="9.140625" style="330"/>
  </cols>
  <sheetData>
    <row r="1" spans="1:23" ht="15.75" thickBot="1" x14ac:dyDescent="0.3">
      <c r="A1" s="421"/>
      <c r="B1" s="421"/>
      <c r="C1" s="456"/>
      <c r="D1" s="457"/>
      <c r="E1" s="421"/>
      <c r="F1" s="421"/>
      <c r="G1" s="421"/>
      <c r="H1" s="421"/>
      <c r="I1" s="421"/>
      <c r="J1" s="421"/>
    </row>
    <row r="2" spans="1:23" ht="15.75" thickBot="1" x14ac:dyDescent="0.3">
      <c r="A2" s="421"/>
      <c r="B2" s="421"/>
      <c r="C2" s="421"/>
      <c r="D2" s="458" t="s">
        <v>3</v>
      </c>
      <c r="E2" s="459" t="s">
        <v>4</v>
      </c>
      <c r="F2" s="459" t="s">
        <v>4</v>
      </c>
      <c r="G2" s="459" t="s">
        <v>4</v>
      </c>
      <c r="H2" s="460" t="s">
        <v>2453</v>
      </c>
      <c r="I2" s="608" t="s">
        <v>2588</v>
      </c>
      <c r="J2" s="461" t="s">
        <v>1714</v>
      </c>
    </row>
    <row r="3" spans="1:23" ht="15.75" thickBot="1" x14ac:dyDescent="0.3">
      <c r="A3" s="421"/>
      <c r="B3" s="421"/>
      <c r="C3" s="421"/>
      <c r="D3" s="458" t="s">
        <v>5</v>
      </c>
      <c r="E3" s="459" t="s">
        <v>0</v>
      </c>
      <c r="F3" s="459">
        <v>2018</v>
      </c>
      <c r="G3" s="459" t="s">
        <v>1</v>
      </c>
      <c r="H3" s="462">
        <v>2019</v>
      </c>
      <c r="I3" s="609">
        <v>2019</v>
      </c>
      <c r="J3" s="463">
        <v>2020</v>
      </c>
    </row>
    <row r="4" spans="1:23" ht="15.75" thickBot="1" x14ac:dyDescent="0.3">
      <c r="A4" s="421"/>
      <c r="B4" s="421"/>
      <c r="C4" s="464"/>
      <c r="D4" s="458" t="s">
        <v>6</v>
      </c>
      <c r="E4" s="459" t="s">
        <v>8</v>
      </c>
      <c r="F4" s="459" t="s">
        <v>8</v>
      </c>
      <c r="G4" s="461" t="s">
        <v>7</v>
      </c>
      <c r="H4" s="465"/>
      <c r="I4" s="610" t="s">
        <v>2589</v>
      </c>
      <c r="J4" s="461" t="s">
        <v>7</v>
      </c>
    </row>
    <row r="5" spans="1:23" ht="15.75" thickBot="1" x14ac:dyDescent="0.3">
      <c r="A5" s="466" t="s">
        <v>9</v>
      </c>
      <c r="B5" s="467" t="s">
        <v>914</v>
      </c>
      <c r="C5" s="468"/>
      <c r="D5" s="421"/>
      <c r="E5" s="469"/>
      <c r="F5" s="469"/>
      <c r="G5" s="469"/>
      <c r="H5" s="469"/>
      <c r="I5" s="611"/>
      <c r="J5" s="469"/>
    </row>
    <row r="6" spans="1:23" ht="15.75" thickTop="1" x14ac:dyDescent="0.25">
      <c r="A6" s="471" t="s">
        <v>1167</v>
      </c>
      <c r="B6" s="612" t="s">
        <v>2590</v>
      </c>
      <c r="C6" s="613" t="s">
        <v>264</v>
      </c>
      <c r="D6" s="613"/>
      <c r="E6" s="614">
        <v>-36300</v>
      </c>
      <c r="F6" s="614">
        <v>-36300</v>
      </c>
      <c r="G6" s="614">
        <v>-36000</v>
      </c>
      <c r="H6" s="615">
        <v>-36300</v>
      </c>
      <c r="I6" s="616">
        <v>-36300</v>
      </c>
      <c r="J6" s="617">
        <v>-857759</v>
      </c>
      <c r="M6" s="618" t="s">
        <v>2591</v>
      </c>
      <c r="N6" s="619">
        <f>-15000*12+707000</f>
        <v>527000</v>
      </c>
      <c r="O6" s="88">
        <f>+J6-N6</f>
        <v>-1384759</v>
      </c>
    </row>
    <row r="7" spans="1:23" x14ac:dyDescent="0.25">
      <c r="A7" s="471" t="s">
        <v>1209</v>
      </c>
      <c r="B7" s="612" t="s">
        <v>2590</v>
      </c>
      <c r="C7" s="613" t="s">
        <v>305</v>
      </c>
      <c r="D7" s="613"/>
      <c r="E7" s="614">
        <v>-819305.52</v>
      </c>
      <c r="F7" s="614">
        <v>-195577.4</v>
      </c>
      <c r="G7" s="614">
        <v>0</v>
      </c>
      <c r="H7" s="615">
        <v>-264578.59999999998</v>
      </c>
      <c r="I7" s="616">
        <v>-296921</v>
      </c>
      <c r="J7" s="476">
        <v>-2000000</v>
      </c>
      <c r="K7" s="620" t="s">
        <v>2592</v>
      </c>
      <c r="M7" s="621" t="s">
        <v>2593</v>
      </c>
      <c r="N7" s="622">
        <v>-1500000</v>
      </c>
      <c r="O7" s="88">
        <f>+J7-N7</f>
        <v>-500000</v>
      </c>
    </row>
    <row r="8" spans="1:23" x14ac:dyDescent="0.25">
      <c r="A8" s="471" t="s">
        <v>1436</v>
      </c>
      <c r="B8" s="612" t="s">
        <v>2590</v>
      </c>
      <c r="C8" s="613" t="s">
        <v>575</v>
      </c>
      <c r="D8" s="613"/>
      <c r="E8" s="614">
        <v>-215182.12</v>
      </c>
      <c r="F8" s="614">
        <v>-248416.6</v>
      </c>
      <c r="G8" s="614">
        <v>-1211000</v>
      </c>
      <c r="H8" s="615">
        <v>-55009.59</v>
      </c>
      <c r="I8" s="616">
        <v>-55009</v>
      </c>
      <c r="J8" s="623">
        <v>-4222670</v>
      </c>
      <c r="K8" s="105" t="s">
        <v>1709</v>
      </c>
      <c r="L8" s="624" t="s">
        <v>2594</v>
      </c>
      <c r="M8" s="624"/>
      <c r="N8" s="624"/>
      <c r="O8" s="624"/>
      <c r="P8" s="624"/>
      <c r="Q8" s="624"/>
      <c r="R8" s="624"/>
      <c r="S8" s="624"/>
      <c r="T8" s="624"/>
      <c r="U8" s="624"/>
    </row>
    <row r="9" spans="1:23" x14ac:dyDescent="0.25">
      <c r="C9" s="501" t="s">
        <v>2455</v>
      </c>
      <c r="D9" s="501"/>
      <c r="E9" s="502">
        <f t="shared" ref="E9:J9" si="0">SUM(E6:E8)</f>
        <v>-1070787.6400000001</v>
      </c>
      <c r="F9" s="502">
        <f t="shared" si="0"/>
        <v>-480294</v>
      </c>
      <c r="G9" s="502">
        <f t="shared" si="0"/>
        <v>-1247000</v>
      </c>
      <c r="H9" s="502">
        <f t="shared" si="0"/>
        <v>-355888.18999999994</v>
      </c>
      <c r="I9" s="625">
        <f t="shared" si="0"/>
        <v>-388230</v>
      </c>
      <c r="J9" s="504">
        <f t="shared" si="0"/>
        <v>-7080429</v>
      </c>
      <c r="L9" s="624"/>
      <c r="M9" s="624"/>
      <c r="N9" s="624"/>
      <c r="O9" s="624"/>
      <c r="P9" s="624"/>
      <c r="Q9" s="624"/>
      <c r="R9" s="624"/>
      <c r="S9" s="624"/>
      <c r="T9" s="624"/>
      <c r="U9" s="624"/>
    </row>
    <row r="10" spans="1:23" x14ac:dyDescent="0.25">
      <c r="I10" s="626"/>
      <c r="J10" s="482"/>
      <c r="L10" s="157" t="s">
        <v>2342</v>
      </c>
      <c r="M10" s="621" t="s">
        <v>2593</v>
      </c>
      <c r="N10" s="622">
        <v>-575000</v>
      </c>
      <c r="O10" s="88">
        <f>+J8-N10</f>
        <v>-3647670</v>
      </c>
    </row>
    <row r="11" spans="1:23" x14ac:dyDescent="0.25">
      <c r="A11" s="471" t="s">
        <v>1027</v>
      </c>
      <c r="B11" s="612" t="s">
        <v>2595</v>
      </c>
      <c r="C11" s="483" t="s">
        <v>119</v>
      </c>
      <c r="D11" s="483"/>
      <c r="E11" s="614">
        <v>-2617019.5699999998</v>
      </c>
      <c r="F11" s="614">
        <v>-3060266.65</v>
      </c>
      <c r="G11" s="614">
        <v>-2899821.03027773</v>
      </c>
      <c r="H11" s="615">
        <v>-1703915.03</v>
      </c>
      <c r="I11" s="616">
        <v>-1894862.65</v>
      </c>
      <c r="J11" s="623">
        <v>-2900000</v>
      </c>
      <c r="K11" s="105" t="s">
        <v>1707</v>
      </c>
      <c r="M11" s="621" t="s">
        <v>2593</v>
      </c>
      <c r="N11" s="622">
        <v>-900000</v>
      </c>
      <c r="O11" s="88">
        <f>+J11-N11</f>
        <v>-2000000</v>
      </c>
    </row>
    <row r="12" spans="1:23" x14ac:dyDescent="0.25">
      <c r="A12" s="471" t="s">
        <v>1043</v>
      </c>
      <c r="B12" s="612" t="s">
        <v>2595</v>
      </c>
      <c r="C12" s="483" t="s">
        <v>132</v>
      </c>
      <c r="D12" s="483"/>
      <c r="E12" s="614">
        <v>-1278998.45</v>
      </c>
      <c r="F12" s="614">
        <v>-2215890.1</v>
      </c>
      <c r="G12" s="614">
        <v>-2616095.8245606702</v>
      </c>
      <c r="H12" s="615">
        <v>-533085.31000000006</v>
      </c>
      <c r="I12" s="616">
        <v>-563131.05000000005</v>
      </c>
      <c r="J12" s="623">
        <v>-2753960</v>
      </c>
      <c r="K12" s="104"/>
    </row>
    <row r="13" spans="1:23" x14ac:dyDescent="0.25">
      <c r="A13" s="471" t="s">
        <v>1130</v>
      </c>
      <c r="B13" s="612" t="s">
        <v>2595</v>
      </c>
      <c r="C13" s="483" t="s">
        <v>226</v>
      </c>
      <c r="D13" s="483"/>
      <c r="E13" s="614">
        <v>-226902.8</v>
      </c>
      <c r="F13" s="614">
        <v>-244271.09</v>
      </c>
      <c r="G13" s="614">
        <v>-400210.84328072501</v>
      </c>
      <c r="H13" s="615">
        <v>-494983.25</v>
      </c>
      <c r="I13" s="616">
        <v>-508709.25</v>
      </c>
      <c r="J13" s="623">
        <v>-500000</v>
      </c>
      <c r="K13" s="104"/>
    </row>
    <row r="14" spans="1:23" x14ac:dyDescent="0.25">
      <c r="A14" s="471" t="s">
        <v>1164</v>
      </c>
      <c r="B14" s="612" t="s">
        <v>2595</v>
      </c>
      <c r="C14" s="483" t="s">
        <v>262</v>
      </c>
      <c r="D14" s="483"/>
      <c r="E14" s="614">
        <v>-1654199.78</v>
      </c>
      <c r="F14" s="614">
        <v>-1790278.99000001</v>
      </c>
      <c r="G14" s="614">
        <v>-1800120.4320583299</v>
      </c>
      <c r="H14" s="615">
        <v>-1541365.34</v>
      </c>
      <c r="I14" s="616">
        <v>-1625172.34</v>
      </c>
      <c r="J14" s="623">
        <v>-2000000</v>
      </c>
      <c r="K14" s="104"/>
    </row>
    <row r="15" spans="1:23" x14ac:dyDescent="0.25">
      <c r="A15" s="471" t="s">
        <v>1193</v>
      </c>
      <c r="B15" s="612" t="s">
        <v>2595</v>
      </c>
      <c r="C15" s="483" t="s">
        <v>289</v>
      </c>
      <c r="D15" s="483"/>
      <c r="E15" s="614">
        <v>-813867.3</v>
      </c>
      <c r="F15" s="614">
        <v>-745230.6</v>
      </c>
      <c r="G15" s="614">
        <v>-619999.99999999604</v>
      </c>
      <c r="H15" s="615">
        <v>-608875.30000000005</v>
      </c>
      <c r="I15" s="616">
        <v>-667481.65</v>
      </c>
      <c r="J15" s="623">
        <v>-848476</v>
      </c>
      <c r="K15" s="104"/>
    </row>
    <row r="16" spans="1:23" x14ac:dyDescent="0.25">
      <c r="A16" s="471" t="s">
        <v>1210</v>
      </c>
      <c r="B16" s="612" t="s">
        <v>2595</v>
      </c>
      <c r="C16" s="483" t="s">
        <v>306</v>
      </c>
      <c r="D16" s="483"/>
      <c r="E16" s="614">
        <v>-39504490.229999997</v>
      </c>
      <c r="F16" s="614">
        <v>-33494159.239999998</v>
      </c>
      <c r="G16" s="614">
        <v>-44565999.999999903</v>
      </c>
      <c r="H16" s="615">
        <v>-36069086.890000001</v>
      </c>
      <c r="I16" s="616">
        <v>-36338223.43</v>
      </c>
      <c r="J16" s="623">
        <v>-56654343</v>
      </c>
      <c r="K16" s="627" t="s">
        <v>2596</v>
      </c>
      <c r="L16" s="628"/>
      <c r="M16" s="628"/>
      <c r="N16" s="628"/>
      <c r="O16" s="628"/>
      <c r="P16" s="628"/>
      <c r="Q16" s="628"/>
      <c r="R16" s="628"/>
      <c r="S16" s="628"/>
      <c r="T16" s="628"/>
      <c r="U16" s="621" t="s">
        <v>2593</v>
      </c>
      <c r="V16" s="622">
        <v>-750000</v>
      </c>
      <c r="W16" s="67">
        <f>+V16-J16</f>
        <v>55904343</v>
      </c>
    </row>
    <row r="17" spans="1:15" x14ac:dyDescent="0.25">
      <c r="A17" s="471" t="s">
        <v>1420</v>
      </c>
      <c r="B17" s="612" t="s">
        <v>2595</v>
      </c>
      <c r="C17" s="483" t="s">
        <v>561</v>
      </c>
      <c r="D17" s="483"/>
      <c r="E17" s="614">
        <v>-6415858.4400000004</v>
      </c>
      <c r="F17" s="614">
        <v>-5916568.6500000004</v>
      </c>
      <c r="G17" s="614">
        <v>-14027000</v>
      </c>
      <c r="H17" s="615">
        <v>-5332450.59</v>
      </c>
      <c r="I17" s="616">
        <v>-5609226.5999999996</v>
      </c>
      <c r="J17" s="623">
        <v>-13456400</v>
      </c>
      <c r="K17" s="105" t="s">
        <v>1706</v>
      </c>
      <c r="M17" s="621" t="s">
        <v>2593</v>
      </c>
      <c r="N17" s="622">
        <f>+J17+8931400</f>
        <v>-4525000</v>
      </c>
      <c r="O17" s="88">
        <f>+J17-N17</f>
        <v>-8931400</v>
      </c>
    </row>
    <row r="18" spans="1:15" x14ac:dyDescent="0.25">
      <c r="A18" s="471" t="s">
        <v>1421</v>
      </c>
      <c r="B18" s="612" t="s">
        <v>2595</v>
      </c>
      <c r="C18" s="483" t="s">
        <v>562</v>
      </c>
      <c r="D18" s="483"/>
      <c r="E18" s="614">
        <v>-539477.51</v>
      </c>
      <c r="F18" s="614">
        <v>-541893.1</v>
      </c>
      <c r="G18" s="614">
        <v>-870000</v>
      </c>
      <c r="H18" s="615">
        <v>-391120.5</v>
      </c>
      <c r="I18" s="616">
        <v>-404552.5</v>
      </c>
      <c r="J18" s="623">
        <v>-1111500</v>
      </c>
      <c r="K18" s="105" t="s">
        <v>1708</v>
      </c>
    </row>
    <row r="19" spans="1:15" x14ac:dyDescent="0.25">
      <c r="A19" s="471" t="s">
        <v>1590</v>
      </c>
      <c r="B19" s="612" t="s">
        <v>2595</v>
      </c>
      <c r="C19" s="483" t="s">
        <v>828</v>
      </c>
      <c r="D19" s="483"/>
      <c r="E19" s="614">
        <v>23642.07</v>
      </c>
      <c r="F19" s="614">
        <v>29467.21</v>
      </c>
      <c r="G19" s="614">
        <v>39999.999999995998</v>
      </c>
      <c r="H19" s="615">
        <v>27842.57</v>
      </c>
      <c r="I19" s="616">
        <v>30798.67</v>
      </c>
      <c r="J19" s="623">
        <v>20000</v>
      </c>
      <c r="K19" s="104"/>
    </row>
    <row r="20" spans="1:15" ht="15.75" thickBot="1" x14ac:dyDescent="0.3">
      <c r="C20" s="501" t="s">
        <v>2455</v>
      </c>
      <c r="D20" s="501"/>
      <c r="E20" s="502">
        <f t="shared" ref="E20:J20" si="1">SUM(E11:E19)</f>
        <v>-53027172.00999999</v>
      </c>
      <c r="F20" s="502">
        <f t="shared" si="1"/>
        <v>-47979091.210000008</v>
      </c>
      <c r="G20" s="502">
        <f t="shared" si="1"/>
        <v>-67759248.130177349</v>
      </c>
      <c r="H20" s="502">
        <f t="shared" si="1"/>
        <v>-46647039.639999993</v>
      </c>
      <c r="I20" s="625">
        <f t="shared" si="1"/>
        <v>-47580560.799999997</v>
      </c>
      <c r="J20" s="505">
        <f t="shared" si="1"/>
        <v>-80204679</v>
      </c>
    </row>
    <row r="21" spans="1:15" ht="15.75" thickTop="1" x14ac:dyDescent="0.25">
      <c r="E21" s="629">
        <f>E20+E9</f>
        <v>-54097959.649999991</v>
      </c>
      <c r="F21" s="629">
        <f>F20+F9</f>
        <v>-48459385.210000008</v>
      </c>
      <c r="G21" s="629">
        <f>G20+G9</f>
        <v>-69006248.130177349</v>
      </c>
      <c r="H21" s="630">
        <f t="shared" ref="H21:J21" si="2">H20+H9</f>
        <v>-47002927.829999991</v>
      </c>
      <c r="I21" s="631">
        <f t="shared" si="2"/>
        <v>-47968790.799999997</v>
      </c>
      <c r="J21" s="629">
        <f t="shared" si="2"/>
        <v>-87285108</v>
      </c>
    </row>
    <row r="22" spans="1:15" ht="15.75" thickBot="1" x14ac:dyDescent="0.3">
      <c r="O22" s="632" t="s">
        <v>2597</v>
      </c>
    </row>
    <row r="23" spans="1:15" ht="16.5" thickBot="1" x14ac:dyDescent="0.3">
      <c r="C23" s="633"/>
      <c r="D23" s="634" t="s">
        <v>2598</v>
      </c>
      <c r="G23" s="533"/>
      <c r="H23" s="635" t="s">
        <v>2599</v>
      </c>
      <c r="I23" s="635"/>
      <c r="J23" s="535">
        <v>10000000</v>
      </c>
      <c r="N23" s="622">
        <f>SUM(N17:N21)+N7+N11+N10+V16+N6</f>
        <v>-7723000</v>
      </c>
      <c r="O23" s="88">
        <f>+J23+N23</f>
        <v>2277000</v>
      </c>
    </row>
    <row r="24" spans="1:15" x14ac:dyDescent="0.25">
      <c r="D24" s="634" t="s">
        <v>2600</v>
      </c>
      <c r="G24" s="536" t="s">
        <v>2576</v>
      </c>
      <c r="H24" s="536"/>
      <c r="I24" s="536"/>
      <c r="J24" s="537">
        <f>-(J21+J23)</f>
        <v>77285108</v>
      </c>
      <c r="O24" s="544" t="s">
        <v>2601</v>
      </c>
    </row>
    <row r="25" spans="1:15" x14ac:dyDescent="0.25">
      <c r="G25" s="603"/>
      <c r="H25" s="536"/>
      <c r="I25" s="536"/>
      <c r="J25" s="605" t="s">
        <v>2602</v>
      </c>
    </row>
    <row r="27" spans="1:15" x14ac:dyDescent="0.25">
      <c r="C27" s="636" t="s">
        <v>2603</v>
      </c>
    </row>
    <row r="28" spans="1:15" ht="27" customHeight="1" x14ac:dyDescent="0.25">
      <c r="C28" s="637" t="s">
        <v>2604</v>
      </c>
      <c r="D28" s="638"/>
      <c r="E28" s="639" t="s">
        <v>2605</v>
      </c>
      <c r="F28" s="640" t="s">
        <v>2606</v>
      </c>
      <c r="G28" s="640"/>
      <c r="H28" s="640"/>
      <c r="I28" s="639" t="s">
        <v>2607</v>
      </c>
      <c r="J28" s="638">
        <v>31958</v>
      </c>
    </row>
    <row r="30" spans="1:15" x14ac:dyDescent="0.25">
      <c r="C30" s="641" t="s">
        <v>2608</v>
      </c>
      <c r="D30" s="642"/>
      <c r="E30" s="643" t="s">
        <v>1714</v>
      </c>
      <c r="F30" s="642">
        <v>154477</v>
      </c>
      <c r="G30" s="643" t="s">
        <v>2609</v>
      </c>
      <c r="H30" s="643"/>
      <c r="I30" s="643" t="s">
        <v>2610</v>
      </c>
      <c r="J30" s="642">
        <v>168970</v>
      </c>
      <c r="K30" s="643" t="s">
        <v>2611</v>
      </c>
    </row>
    <row r="31" spans="1:15" x14ac:dyDescent="0.25">
      <c r="E31" s="643"/>
      <c r="F31" s="644"/>
      <c r="G31" s="644"/>
      <c r="H31" s="644"/>
    </row>
    <row r="32" spans="1:15" ht="33.75" customHeight="1" x14ac:dyDescent="0.25">
      <c r="C32" s="637" t="s">
        <v>2612</v>
      </c>
      <c r="D32" s="638"/>
      <c r="E32" s="639" t="s">
        <v>2605</v>
      </c>
      <c r="F32" s="640" t="s">
        <v>2613</v>
      </c>
      <c r="G32" s="640"/>
      <c r="H32" s="640"/>
      <c r="I32" s="639" t="s">
        <v>2614</v>
      </c>
      <c r="J32" s="638">
        <v>65340</v>
      </c>
    </row>
    <row r="33" spans="3:11" ht="30" customHeight="1" x14ac:dyDescent="0.25">
      <c r="C33" s="637" t="s">
        <v>2615</v>
      </c>
      <c r="D33" s="645" t="s">
        <v>2616</v>
      </c>
      <c r="E33" s="645"/>
      <c r="F33" s="640" t="s">
        <v>2617</v>
      </c>
      <c r="G33" s="640"/>
      <c r="H33" s="640"/>
      <c r="I33" s="639" t="s">
        <v>2614</v>
      </c>
      <c r="J33" s="638">
        <v>113324</v>
      </c>
      <c r="K33" s="330" t="s">
        <v>2618</v>
      </c>
    </row>
  </sheetData>
  <mergeCells count="19">
    <mergeCell ref="C18:D18"/>
    <mergeCell ref="C19:D19"/>
    <mergeCell ref="F28:H28"/>
    <mergeCell ref="F31:H31"/>
    <mergeCell ref="F32:H32"/>
    <mergeCell ref="D33:E33"/>
    <mergeCell ref="F33:H33"/>
    <mergeCell ref="C13:D13"/>
    <mergeCell ref="C14:D14"/>
    <mergeCell ref="C15:D15"/>
    <mergeCell ref="C16:D16"/>
    <mergeCell ref="K16:T16"/>
    <mergeCell ref="C17:D17"/>
    <mergeCell ref="C6:D6"/>
    <mergeCell ref="C7:D7"/>
    <mergeCell ref="C8:D8"/>
    <mergeCell ref="L8:U9"/>
    <mergeCell ref="C11:D11"/>
    <mergeCell ref="C12:D12"/>
  </mergeCells>
  <conditionalFormatting sqref="E5:G5">
    <cfRule type="expression" dxfId="34" priority="26">
      <formula>AND(#REF!=0,#REF!=1,LEFT($A5,1)="A")</formula>
    </cfRule>
    <cfRule type="expression" dxfId="33" priority="27">
      <formula>#REF!=3</formula>
    </cfRule>
    <cfRule type="expression" dxfId="32" priority="28">
      <formula>#REF!=2</formula>
    </cfRule>
    <cfRule type="expression" dxfId="31" priority="29">
      <formula>AND(#REF!=1,OR(#REF!&lt;&gt;0,LEFT($A5,1)="I",LEFT($A5,1)="C",RIGHT($A5,1)="X"))</formula>
    </cfRule>
    <cfRule type="expression" dxfId="30" priority="30">
      <formula>#REF!=0</formula>
    </cfRule>
  </conditionalFormatting>
  <conditionalFormatting sqref="C5">
    <cfRule type="expression" dxfId="29" priority="31">
      <formula>AND(#REF!=0,#REF!=1,LEFT($A6,1)="A")</formula>
    </cfRule>
    <cfRule type="expression" dxfId="28" priority="32">
      <formula>#REF!=3</formula>
    </cfRule>
    <cfRule type="expression" dxfId="27" priority="33">
      <formula>#REF!=2</formula>
    </cfRule>
    <cfRule type="expression" dxfId="26" priority="34">
      <formula>AND(#REF!=1,OR(#REF!&lt;&gt;0,LEFT($A6,1)="I",LEFT($A6,1)="C",RIGHT($A6,1)="X"))</formula>
    </cfRule>
    <cfRule type="expression" dxfId="25" priority="35">
      <formula>#REF!=0</formula>
    </cfRule>
  </conditionalFormatting>
  <conditionalFormatting sqref="H5:I5 C11:C19">
    <cfRule type="expression" dxfId="24" priority="21">
      <formula>AND(#REF!=0,#REF!=1,LEFT($A5,1)="A")</formula>
    </cfRule>
    <cfRule type="expression" dxfId="23" priority="22">
      <formula>#REF!=3</formula>
    </cfRule>
    <cfRule type="expression" dxfId="22" priority="23">
      <formula>#REF!=2</formula>
    </cfRule>
    <cfRule type="expression" dxfId="21" priority="24">
      <formula>AND(#REF!=1,OR(#REF!&lt;&gt;0,LEFT($A5,1)="I",LEFT($A5,1)="C",RIGHT($A5,1)="X"))</formula>
    </cfRule>
    <cfRule type="expression" dxfId="20" priority="25">
      <formula>#REF!=0</formula>
    </cfRule>
  </conditionalFormatting>
  <conditionalFormatting sqref="J5">
    <cfRule type="expression" dxfId="19" priority="16">
      <formula>AND(#REF!=0,#REF!=1,LEFT($A5,1)="A")</formula>
    </cfRule>
    <cfRule type="expression" dxfId="18" priority="17">
      <formula>#REF!=3</formula>
    </cfRule>
    <cfRule type="expression" dxfId="17" priority="18">
      <formula>#REF!=2</formula>
    </cfRule>
    <cfRule type="expression" dxfId="16" priority="19">
      <formula>AND(#REF!=1,OR(#REF!&lt;&gt;0,LEFT($A5,1)="I",LEFT($A5,1)="C",RIGHT($A5,1)="X"))</formula>
    </cfRule>
    <cfRule type="expression" dxfId="15" priority="20">
      <formula>#REF!=0</formula>
    </cfRule>
  </conditionalFormatting>
  <conditionalFormatting sqref="C6:C8">
    <cfRule type="expression" dxfId="14" priority="11">
      <formula>AND(#REF!=0,#REF!=1,LEFT($A6,1)="A")</formula>
    </cfRule>
    <cfRule type="expression" dxfId="13" priority="12">
      <formula>#REF!=3</formula>
    </cfRule>
    <cfRule type="expression" dxfId="12" priority="13">
      <formula>#REF!=2</formula>
    </cfRule>
    <cfRule type="expression" dxfId="11" priority="14">
      <formula>AND(#REF!=1,OR(#REF!&lt;&gt;0,LEFT($A6,1)="I",LEFT($A6,1)="C",RIGHT($A6,1)="X"))</formula>
    </cfRule>
    <cfRule type="expression" dxfId="10" priority="15">
      <formula>#REF!=0</formula>
    </cfRule>
  </conditionalFormatting>
  <conditionalFormatting sqref="E6:G8 J6:J8">
    <cfRule type="expression" dxfId="9" priority="6">
      <formula>AND(#REF!=0,#REF!=1,LEFT($A6,1)="A")</formula>
    </cfRule>
    <cfRule type="expression" dxfId="8" priority="7">
      <formula>#REF!=3</formula>
    </cfRule>
    <cfRule type="expression" dxfId="7" priority="8">
      <formula>#REF!=2</formula>
    </cfRule>
    <cfRule type="expression" dxfId="6" priority="9">
      <formula>AND(#REF!=1,OR(#REF!&lt;&gt;0,LEFT($A6,1)="I",LEFT($A6,1)="C",RIGHT($A6,1)="X"))</formula>
    </cfRule>
    <cfRule type="expression" dxfId="5" priority="10">
      <formula>#REF!=0</formula>
    </cfRule>
  </conditionalFormatting>
  <conditionalFormatting sqref="E11:G19 J11:J19">
    <cfRule type="expression" dxfId="4" priority="1">
      <formula>AND(#REF!=0,#REF!=1,LEFT($A11,1)="A")</formula>
    </cfRule>
    <cfRule type="expression" dxfId="3" priority="2">
      <formula>#REF!=3</formula>
    </cfRule>
    <cfRule type="expression" dxfId="2" priority="3">
      <formula>#REF!=2</formula>
    </cfRule>
    <cfRule type="expression" dxfId="1" priority="4">
      <formula>AND(#REF!=1,OR(#REF!&lt;&gt;0,LEFT($A11,1)="I",LEFT($A11,1)="C",RIGHT($A11,1)="X"))</formula>
    </cfRule>
    <cfRule type="expression" dxfId="0" priority="5">
      <formula>#REF!=0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6</vt:i4>
      </vt:variant>
    </vt:vector>
  </HeadingPairs>
  <TitlesOfParts>
    <vt:vector size="17" baseType="lpstr">
      <vt:lpstr>Návrh</vt:lpstr>
      <vt:lpstr>plán výpočtu LP a ZM</vt:lpstr>
      <vt:lpstr>Syntetiky</vt:lpstr>
      <vt:lpstr>Detail</vt:lpstr>
      <vt:lpstr>highlights</vt:lpstr>
      <vt:lpstr>rezervy zisky</vt:lpstr>
      <vt:lpstr>ÚHTS</vt:lpstr>
      <vt:lpstr>OBÚ</vt:lpstr>
      <vt:lpstr>UIT</vt:lpstr>
      <vt:lpstr>OMAR</vt:lpstr>
      <vt:lpstr>v tis.</vt:lpstr>
      <vt:lpstr>Detail!Názvy_tisku</vt:lpstr>
      <vt:lpstr>Návrh!Názvy_tisku</vt:lpstr>
      <vt:lpstr>Detail!Oblast_tisku</vt:lpstr>
      <vt:lpstr>Návrh!Oblast_tisku</vt:lpstr>
      <vt:lpstr>'rezervy zisky'!Oblast_tisku</vt:lpstr>
      <vt:lpstr>Syntetiky!Oblast_tisku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Roman</dc:creator>
  <cp:lastModifiedBy>Uživatel systému Windows</cp:lastModifiedBy>
  <cp:lastPrinted>2020-02-10T11:11:35Z</cp:lastPrinted>
  <dcterms:created xsi:type="dcterms:W3CDTF">2019-09-18T05:45:14Z</dcterms:created>
  <dcterms:modified xsi:type="dcterms:W3CDTF">2020-02-17T06:38:11Z</dcterms:modified>
</cp:coreProperties>
</file>