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Šidová\Manažer kvality\IVDR - zpracování\"/>
    </mc:Choice>
  </mc:AlternateContent>
  <xr:revisionPtr revIDLastSave="0" documentId="13_ncr:1_{D50E948A-4A65-4227-B93E-E0898D8D6391}" xr6:coauthVersionLast="36" xr6:coauthVersionMax="36" xr10:uidLastSave="{00000000-0000-0000-0000-000000000000}"/>
  <bookViews>
    <workbookView xWindow="0" yWindow="0" windowWidth="28800" windowHeight="12225" xr2:uid="{957D1CCC-0FD3-4A33-ABFE-942F0848E823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 l="1"/>
  <c r="K13" i="1"/>
  <c r="I15" i="1"/>
  <c r="L13" i="1"/>
  <c r="E8" i="1"/>
  <c r="H13" i="1" l="1"/>
  <c r="E9" i="1"/>
  <c r="E11" i="1"/>
  <c r="E10" i="1"/>
  <c r="Q13" i="1" l="1"/>
  <c r="Q12" i="1"/>
  <c r="Q11" i="1"/>
  <c r="Q6" i="1"/>
  <c r="Q4" i="1"/>
  <c r="I8" i="1"/>
  <c r="Q10" i="1" s="1"/>
  <c r="Q5" i="1" l="1"/>
  <c r="Q7" i="1"/>
  <c r="Q14" i="1" s="1"/>
  <c r="Q8" i="1"/>
  <c r="Q9" i="1"/>
</calcChain>
</file>

<file path=xl/sharedStrings.xml><?xml version="1.0" encoding="utf-8"?>
<sst xmlns="http://schemas.openxmlformats.org/spreadsheetml/2006/main" count="67" uniqueCount="63">
  <si>
    <t>PakLX</t>
  </si>
  <si>
    <t>multiplex beads assay pro stanovení a identifikaci  HPA Ab (volné)</t>
  </si>
  <si>
    <t>in-house MAIPA</t>
  </si>
  <si>
    <t>64033 Kč/balení</t>
  </si>
  <si>
    <t>ELISA pro screening a identifikaci HPA Ab (volné i vázané)</t>
  </si>
  <si>
    <t>Odhad nárůstu ceny pro vzorek metody při náhradě in-house metody IVDR - MAIPA</t>
  </si>
  <si>
    <t>DE486</t>
  </si>
  <si>
    <t>DD522</t>
  </si>
  <si>
    <t>DC971</t>
  </si>
  <si>
    <t>DF953</t>
  </si>
  <si>
    <t>DC086</t>
  </si>
  <si>
    <t>DG871</t>
  </si>
  <si>
    <t>DI794</t>
  </si>
  <si>
    <t>DC913</t>
  </si>
  <si>
    <t>DA656</t>
  </si>
  <si>
    <t>DC870</t>
  </si>
  <si>
    <t>1 rok</t>
  </si>
  <si>
    <t>3 měsíce</t>
  </si>
  <si>
    <t>6 měsíců</t>
  </si>
  <si>
    <t>50 měsíců</t>
  </si>
  <si>
    <t>4 měsíce</t>
  </si>
  <si>
    <t>Počet vzorků MAIPA za rok 2023</t>
  </si>
  <si>
    <t>9 mesíců</t>
  </si>
  <si>
    <t>Průměrný počet vzorků za měsíc</t>
  </si>
  <si>
    <t>určení specificity trombocytární protilátky</t>
  </si>
  <si>
    <t>screeningové vyšetření trombocytárních protilátek</t>
  </si>
  <si>
    <t>5186 bodů</t>
  </si>
  <si>
    <t>1057 bodů</t>
  </si>
  <si>
    <t>MAIPA Výkony</t>
  </si>
  <si>
    <t>MAIPA Reagencie</t>
  </si>
  <si>
    <t>náklady na reagencie viz tabulka</t>
  </si>
  <si>
    <t>Kód zboží</t>
  </si>
  <si>
    <t>Cena za balení</t>
  </si>
  <si>
    <t>Doba používání balení</t>
  </si>
  <si>
    <t>Cena na pacienta</t>
  </si>
  <si>
    <t>Celkový bodový zisk za rok 2023</t>
  </si>
  <si>
    <t>Počet četnosti výkonů za rok 2023</t>
  </si>
  <si>
    <t>Capture P</t>
  </si>
  <si>
    <t>Detekce IgG protilátek proti trombocytům metodou pevné fáze</t>
  </si>
  <si>
    <t>výpočet viz xls od MP</t>
  </si>
  <si>
    <t>ELISA pro screening  HPA Ab (volné i vázané)</t>
  </si>
  <si>
    <t>23643 Kč (velké balení)</t>
  </si>
  <si>
    <t>42955 Kč (malé balení)</t>
  </si>
  <si>
    <t>In-house metoda s velmi obtížnou validací</t>
  </si>
  <si>
    <t>screening malé balení</t>
  </si>
  <si>
    <t>identifikace malé balení</t>
  </si>
  <si>
    <t>IVD, bude IVDR</t>
  </si>
  <si>
    <t>klinicky neposkytne danný rozsah dat , IVD bude IVDR</t>
  </si>
  <si>
    <t>MAIPA assay (apDIA) IVD, bude IVDR</t>
  </si>
  <si>
    <t>Cena za test (Kč)</t>
  </si>
  <si>
    <t>screening velké balení</t>
  </si>
  <si>
    <t>identifikace velké balení</t>
  </si>
  <si>
    <t>Jiné alternativy pro stanovení antiHPA Ab</t>
  </si>
  <si>
    <t>4270*</t>
  </si>
  <si>
    <t>* cena odpovídá měření 15 vzorků zároveň</t>
  </si>
  <si>
    <t>Celkový zisk za rok 2023 (původní in-house MAIPA)*</t>
  </si>
  <si>
    <t>*bod=Kč</t>
  </si>
  <si>
    <t>Odhad nárůstu ceny při použití apDIA</t>
  </si>
  <si>
    <t>5x ELISA</t>
  </si>
  <si>
    <t> 101 600,00</t>
  </si>
  <si>
    <t xml:space="preserve">Cena velký kit </t>
  </si>
  <si>
    <t>Cena za test</t>
  </si>
  <si>
    <t>Počet balení velké MAIPA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</si>
</sst>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č&quot;;[Red]\-#,##0\ &quot;Kč&quot;"/>
    <numFmt numFmtId="164" formatCode="0.0"/>
    <numFmt numFmtId="165" formatCode="#,##0.0\ &quot;Kč&quot;"/>
  </numFmts>
  <fonts count="14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2"/>
      <color theme="5" tint="-0.249977111117893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5"/>
      <color rgb="FFFF0000"/>
      <name val="Calibri"/>
      <family val="2"/>
      <charset val="238"/>
      <scheme val="minor"/>
    </font>
    <font>
      <b/>
      <sz val="15"/>
      <name val="Calibri"/>
      <family val="2"/>
      <charset val="238"/>
      <scheme val="minor"/>
    </font>
    <font>
      <sz val="11"/>
      <color rgb="FF21212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0" fontId="3" fillId="0" borderId="3" xfId="0" applyFont="1" applyBorder="1"/>
    <xf numFmtId="0" fontId="3" fillId="0" borderId="5" xfId="0" applyFont="1" applyBorder="1" applyAlignment="1">
      <alignment wrapText="1"/>
    </xf>
    <xf numFmtId="0" fontId="3" fillId="0" borderId="6" xfId="0" applyFont="1" applyBorder="1"/>
    <xf numFmtId="0" fontId="5" fillId="0" borderId="0" xfId="0" applyFont="1"/>
    <xf numFmtId="4" fontId="0" fillId="0" borderId="0" xfId="0" applyNumberFormat="1"/>
    <xf numFmtId="0" fontId="0" fillId="0" borderId="9" xfId="0" applyBorder="1" applyAlignment="1">
      <alignment horizontal="center" vertical="center"/>
    </xf>
    <xf numFmtId="164" fontId="0" fillId="0" borderId="10" xfId="0" applyNumberFormat="1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0" borderId="7" xfId="0" applyNumberFormat="1" applyBorder="1"/>
    <xf numFmtId="0" fontId="0" fillId="0" borderId="11" xfId="0" applyBorder="1" applyAlignment="1">
      <alignment horizontal="center" vertical="center"/>
    </xf>
    <xf numFmtId="4" fontId="0" fillId="0" borderId="8" xfId="0" applyNumberForma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0" borderId="12" xfId="0" applyNumberFormat="1" applyBorder="1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 wrapText="1" shrinkToFi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164" fontId="6" fillId="2" borderId="8" xfId="0" applyNumberFormat="1" applyFont="1" applyFill="1" applyBorder="1"/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13" xfId="0" applyFont="1" applyBorder="1"/>
    <xf numFmtId="0" fontId="7" fillId="0" borderId="14" xfId="0" applyFont="1" applyBorder="1"/>
    <xf numFmtId="164" fontId="8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10" xfId="0" applyBorder="1"/>
    <xf numFmtId="0" fontId="0" fillId="0" borderId="7" xfId="0" applyBorder="1"/>
    <xf numFmtId="0" fontId="0" fillId="0" borderId="9" xfId="0" applyBorder="1"/>
    <xf numFmtId="0" fontId="0" fillId="0" borderId="5" xfId="0" applyBorder="1"/>
    <xf numFmtId="0" fontId="0" fillId="0" borderId="2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3" borderId="2" xfId="0" applyFill="1" applyBorder="1" applyAlignment="1">
      <alignment vertical="center" wrapText="1"/>
    </xf>
    <xf numFmtId="0" fontId="0" fillId="3" borderId="4" xfId="0" applyFill="1" applyBorder="1" applyAlignment="1">
      <alignment vertical="center"/>
    </xf>
    <xf numFmtId="0" fontId="0" fillId="3" borderId="5" xfId="0" applyFill="1" applyBorder="1" applyAlignment="1">
      <alignment vertical="center" wrapText="1"/>
    </xf>
    <xf numFmtId="0" fontId="0" fillId="3" borderId="7" xfId="0" applyFill="1" applyBorder="1"/>
    <xf numFmtId="0" fontId="0" fillId="0" borderId="1" xfId="0" applyBorder="1" applyAlignment="1">
      <alignment horizontal="center"/>
    </xf>
    <xf numFmtId="0" fontId="10" fillId="0" borderId="0" xfId="0" applyFont="1"/>
    <xf numFmtId="0" fontId="0" fillId="0" borderId="16" xfId="0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164" fontId="8" fillId="0" borderId="8" xfId="0" applyNumberFormat="1" applyFont="1" applyFill="1" applyBorder="1" applyAlignment="1">
      <alignment horizontal="center" vertical="center"/>
    </xf>
    <xf numFmtId="164" fontId="8" fillId="4" borderId="17" xfId="0" applyNumberFormat="1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165" fontId="11" fillId="4" borderId="15" xfId="0" applyNumberFormat="1" applyFont="1" applyFill="1" applyBorder="1"/>
    <xf numFmtId="0" fontId="6" fillId="5" borderId="17" xfId="0" applyFont="1" applyFill="1" applyBorder="1" applyAlignment="1">
      <alignment horizontal="center" vertical="center" wrapText="1"/>
    </xf>
    <xf numFmtId="165" fontId="12" fillId="5" borderId="18" xfId="0" applyNumberFormat="1" applyFont="1" applyFill="1" applyBorder="1"/>
    <xf numFmtId="0" fontId="10" fillId="4" borderId="1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6" fontId="0" fillId="0" borderId="16" xfId="0" applyNumberFormat="1" applyBorder="1" applyAlignment="1">
      <alignment horizontal="center" vertical="center"/>
    </xf>
    <xf numFmtId="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20" xfId="0" applyBorder="1"/>
    <xf numFmtId="0" fontId="0" fillId="0" borderId="21" xfId="0" applyFont="1" applyBorder="1"/>
    <xf numFmtId="0" fontId="0" fillId="0" borderId="19" xfId="0" applyBorder="1"/>
    <xf numFmtId="0" fontId="13" fillId="0" borderId="15" xfId="0" applyFont="1" applyBorder="1"/>
    <xf numFmtId="0" fontId="0" fillId="0" borderId="19" xfId="0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4" borderId="22" xfId="0" applyFill="1" applyBorder="1"/>
    <xf numFmtId="0" fontId="0" fillId="4" borderId="23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1585912</xdr:colOff>
      <xdr:row>5</xdr:row>
      <xdr:rowOff>19053</xdr:rowOff>
    </xdr:from>
    <xdr:to>
      <xdr:col>2</xdr:col>
      <xdr:colOff>2419349</xdr:colOff>
      <xdr:row>7</xdr:row>
      <xdr:rowOff>228600</xdr:rowOff>
    </xdr:to>
    <xdr:sp macro="" textlink="">
      <xdr:nvSpPr>
        <xdr:cNvPr id="2" name="Šipka: doprava se zářezem 1">
          <a:extLst>
            <a:ext uri="{FF2B5EF4-FFF2-40B4-BE49-F238E27FC236}">
              <a16:creationId xmlns:a16="http://schemas.microsoft.com/office/drawing/2014/main" id="{87EE31AC-A510-45EF-893D-13ACC3B7AA9A}"/>
            </a:ext>
          </a:extLst>
        </xdr:cNvPr>
        <xdr:cNvSpPr/>
      </xdr:nvSpPr>
      <xdr:spPr>
        <a:xfrm rot="5400000">
          <a:off x="3645695" y="1864520"/>
          <a:ext cx="790572" cy="833437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C16AF-152E-4EBF-A261-50B88FA8A443}">
  <dimension ref="B2:Q23"/>
  <sheetViews>
    <sheetView tabSelected="1" topLeftCell="D1" workbookViewId="0">
      <selection activeCell="I16" sqref="I16"/>
    </sheetView>
  </sheetViews>
  <sheetFormatPr defaultRowHeight="15" x14ac:dyDescent="0.25"/>
  <cols>
    <col min="2" max="2" width="21.42578125" customWidth="1"/>
    <col min="3" max="3" width="57.7109375" customWidth="1"/>
    <col min="4" max="4" width="23.85546875" customWidth="1"/>
    <col min="5" max="5" width="21.42578125" customWidth="1"/>
    <col min="6" max="6" width="48.42578125" customWidth="1"/>
    <col min="8" max="8" width="31.7109375" customWidth="1"/>
    <col min="9" max="9" width="13.7109375" customWidth="1"/>
    <col min="10" max="10" width="12.85546875" customWidth="1"/>
    <col min="11" max="11" width="22" customWidth="1"/>
    <col min="12" max="12" width="20.7109375" customWidth="1"/>
    <col min="13" max="13" width="11.85546875" bestFit="1" customWidth="1"/>
    <col min="15" max="15" width="14.85546875" customWidth="1"/>
    <col min="16" max="16" width="16.7109375" customWidth="1"/>
    <col min="17" max="17" width="14.5703125" customWidth="1"/>
    <col min="18" max="18" width="21.85546875" customWidth="1"/>
    <col min="19" max="19" width="29.28515625" customWidth="1"/>
    <col min="20" max="20" width="13.140625" customWidth="1"/>
    <col min="21" max="21" width="13.42578125" customWidth="1"/>
    <col min="22" max="22" width="16.85546875" customWidth="1"/>
  </cols>
  <sheetData>
    <row r="2" spans="2:17" ht="21.75" thickBot="1" x14ac:dyDescent="0.4">
      <c r="B2" s="1" t="s">
        <v>5</v>
      </c>
      <c r="N2" s="9" t="s">
        <v>29</v>
      </c>
    </row>
    <row r="3" spans="2:17" ht="45.75" customHeight="1" thickBot="1" x14ac:dyDescent="0.35">
      <c r="H3" s="9" t="s">
        <v>28</v>
      </c>
      <c r="K3" s="36" t="s">
        <v>36</v>
      </c>
      <c r="L3" s="23" t="s">
        <v>35</v>
      </c>
      <c r="N3" s="20" t="s">
        <v>31</v>
      </c>
      <c r="O3" s="21" t="s">
        <v>32</v>
      </c>
      <c r="P3" s="22" t="s">
        <v>33</v>
      </c>
      <c r="Q3" s="23" t="s">
        <v>34</v>
      </c>
    </row>
    <row r="4" spans="2:17" ht="34.5" customHeight="1" thickBot="1" x14ac:dyDescent="0.3">
      <c r="E4" s="46" t="s">
        <v>49</v>
      </c>
      <c r="H4" s="5" t="s">
        <v>24</v>
      </c>
      <c r="I4" s="6">
        <v>22321</v>
      </c>
      <c r="J4" s="28" t="s">
        <v>26</v>
      </c>
      <c r="K4" s="34">
        <v>440</v>
      </c>
      <c r="L4" s="32">
        <v>2247834</v>
      </c>
      <c r="N4" s="16" t="s">
        <v>6</v>
      </c>
      <c r="O4" s="17">
        <v>8651.5</v>
      </c>
      <c r="P4" s="18" t="s">
        <v>16</v>
      </c>
      <c r="Q4" s="19">
        <f>O4/I7</f>
        <v>15.845238095238095</v>
      </c>
    </row>
    <row r="5" spans="2:17" ht="30" customHeight="1" thickBot="1" x14ac:dyDescent="0.3">
      <c r="B5" s="26" t="s">
        <v>2</v>
      </c>
      <c r="C5" s="27" t="s">
        <v>40</v>
      </c>
      <c r="D5" s="44" t="s">
        <v>30</v>
      </c>
      <c r="E5" s="48">
        <v>265.8</v>
      </c>
      <c r="F5" s="49" t="s">
        <v>43</v>
      </c>
      <c r="H5" s="7" t="s">
        <v>25</v>
      </c>
      <c r="I5" s="8">
        <v>22217</v>
      </c>
      <c r="J5" s="29" t="s">
        <v>27</v>
      </c>
      <c r="K5" s="35">
        <v>95</v>
      </c>
      <c r="L5" s="33">
        <v>98792</v>
      </c>
      <c r="N5" s="11" t="s">
        <v>7</v>
      </c>
      <c r="O5" s="3">
        <v>7585</v>
      </c>
      <c r="P5" s="3" t="s">
        <v>17</v>
      </c>
      <c r="Q5" s="12">
        <f>O5/(I8*3)</f>
        <v>55.567765567765569</v>
      </c>
    </row>
    <row r="6" spans="2:17" ht="15.75" thickBot="1" x14ac:dyDescent="0.3">
      <c r="C6" s="2"/>
      <c r="N6" s="11" t="s">
        <v>8</v>
      </c>
      <c r="O6" s="3">
        <v>7585.19</v>
      </c>
      <c r="P6" s="3" t="s">
        <v>18</v>
      </c>
      <c r="Q6" s="12">
        <f>O6/(546/2)</f>
        <v>27.784578754578753</v>
      </c>
    </row>
    <row r="7" spans="2:17" ht="52.5" thickBot="1" x14ac:dyDescent="0.35">
      <c r="C7" s="2"/>
      <c r="H7" s="38" t="s">
        <v>21</v>
      </c>
      <c r="I7" s="39">
        <v>546</v>
      </c>
      <c r="K7" s="51" t="s">
        <v>55</v>
      </c>
      <c r="L7" s="52">
        <f>L4+L5-(E5*I7)</f>
        <v>2201499.2000000002</v>
      </c>
      <c r="N7" s="11" t="s">
        <v>9</v>
      </c>
      <c r="O7" s="4">
        <v>7018</v>
      </c>
      <c r="P7" s="3" t="s">
        <v>19</v>
      </c>
      <c r="Q7" s="12">
        <f>O7/(I8*50)</f>
        <v>3.0848351648351646</v>
      </c>
    </row>
    <row r="8" spans="2:17" ht="20.25" customHeight="1" thickBot="1" x14ac:dyDescent="0.3">
      <c r="B8" s="58" t="s">
        <v>48</v>
      </c>
      <c r="C8" s="57" t="s">
        <v>4</v>
      </c>
      <c r="D8" s="55" t="s">
        <v>41</v>
      </c>
      <c r="E8" s="48">
        <f>23643/11</f>
        <v>2149.3636363636365</v>
      </c>
      <c r="F8" s="49" t="s">
        <v>50</v>
      </c>
      <c r="H8" s="40" t="s">
        <v>23</v>
      </c>
      <c r="I8" s="41">
        <f>546/12</f>
        <v>45.5</v>
      </c>
      <c r="K8" t="s">
        <v>56</v>
      </c>
      <c r="N8" s="11" t="s">
        <v>10</v>
      </c>
      <c r="O8" s="4">
        <v>13703.25</v>
      </c>
      <c r="P8" s="3" t="s">
        <v>20</v>
      </c>
      <c r="Q8" s="12">
        <f>O8/(I8*4)</f>
        <v>75.292582417582423</v>
      </c>
    </row>
    <row r="9" spans="2:17" x14ac:dyDescent="0.25">
      <c r="B9" s="58"/>
      <c r="C9" s="57"/>
      <c r="D9" s="56"/>
      <c r="E9" s="47">
        <f>23643/15</f>
        <v>1576.2</v>
      </c>
      <c r="F9" s="45" t="s">
        <v>51</v>
      </c>
      <c r="N9" s="11" t="s">
        <v>11</v>
      </c>
      <c r="O9" s="3">
        <v>7595.17</v>
      </c>
      <c r="P9" s="3" t="s">
        <v>22</v>
      </c>
      <c r="Q9" s="12">
        <f>O9/(I8*9)</f>
        <v>18.547423687423688</v>
      </c>
    </row>
    <row r="10" spans="2:17" x14ac:dyDescent="0.25">
      <c r="B10" s="58"/>
      <c r="C10" s="57"/>
      <c r="D10" s="54" t="s">
        <v>42</v>
      </c>
      <c r="E10" s="30">
        <f>42955/11</f>
        <v>3905</v>
      </c>
      <c r="F10" s="26" t="s">
        <v>44</v>
      </c>
      <c r="N10" s="11" t="s">
        <v>12</v>
      </c>
      <c r="O10" s="4">
        <v>11146.52</v>
      </c>
      <c r="P10" s="3" t="s">
        <v>22</v>
      </c>
      <c r="Q10" s="12">
        <f>O10/(I8*9)</f>
        <v>27.21982905982906</v>
      </c>
    </row>
    <row r="11" spans="2:17" ht="15.75" thickBot="1" x14ac:dyDescent="0.3">
      <c r="B11" s="58"/>
      <c r="C11" s="57"/>
      <c r="D11" s="54"/>
      <c r="E11" s="30">
        <f>42955/15</f>
        <v>2863.6666666666665</v>
      </c>
      <c r="F11" s="26" t="s">
        <v>45</v>
      </c>
      <c r="N11" s="11" t="s">
        <v>13</v>
      </c>
      <c r="O11" s="4">
        <v>9438</v>
      </c>
      <c r="P11" s="3" t="s">
        <v>16</v>
      </c>
      <c r="Q11" s="12">
        <f>O11/I7</f>
        <v>17.285714285714285</v>
      </c>
    </row>
    <row r="12" spans="2:17" ht="41.25" customHeight="1" x14ac:dyDescent="0.25">
      <c r="H12" s="53" t="s">
        <v>57</v>
      </c>
      <c r="I12" s="61" t="s">
        <v>60</v>
      </c>
      <c r="J12" s="59"/>
      <c r="K12" s="59"/>
      <c r="L12" s="63" t="s">
        <v>61</v>
      </c>
      <c r="N12" s="11" t="s">
        <v>14</v>
      </c>
      <c r="O12" s="3">
        <v>651</v>
      </c>
      <c r="P12" s="3" t="s">
        <v>16</v>
      </c>
      <c r="Q12" s="12">
        <f>O12/I7</f>
        <v>1.1923076923076923</v>
      </c>
    </row>
    <row r="13" spans="2:17" ht="30.75" customHeight="1" thickBot="1" x14ac:dyDescent="0.35">
      <c r="C13" s="2"/>
      <c r="H13" s="50">
        <f>(E8-E5)*I7</f>
        <v>1028425.7454545456</v>
      </c>
      <c r="I13" s="62" t="s">
        <v>59</v>
      </c>
      <c r="J13" s="60" t="s">
        <v>58</v>
      </c>
      <c r="K13" s="60">
        <f>(101600*1.21)/5</f>
        <v>24587.200000000001</v>
      </c>
      <c r="L13" s="64">
        <f>K13/11</f>
        <v>2235.2000000000003</v>
      </c>
      <c r="N13" s="13" t="s">
        <v>15</v>
      </c>
      <c r="O13" s="14">
        <v>13068</v>
      </c>
      <c r="P13" s="14" t="s">
        <v>16</v>
      </c>
      <c r="Q13" s="15">
        <f>O13/I7</f>
        <v>23.934065934065934</v>
      </c>
    </row>
    <row r="14" spans="2:17" ht="18" thickBot="1" x14ac:dyDescent="0.35">
      <c r="C14" s="2"/>
      <c r="O14" s="10"/>
      <c r="Q14" s="24">
        <f>SUM(Q4:Q13)</f>
        <v>265.75434065934064</v>
      </c>
    </row>
    <row r="15" spans="2:17" ht="15.75" thickBot="1" x14ac:dyDescent="0.3">
      <c r="C15" s="2"/>
      <c r="H15" s="65" t="s">
        <v>62</v>
      </c>
      <c r="I15" s="66">
        <f>I7/(11*5)</f>
        <v>9.9272727272727277</v>
      </c>
    </row>
    <row r="16" spans="2:17" ht="18.75" x14ac:dyDescent="0.3">
      <c r="C16" s="43" t="s">
        <v>52</v>
      </c>
    </row>
    <row r="17" spans="2:6" x14ac:dyDescent="0.25">
      <c r="C17" s="2"/>
    </row>
    <row r="18" spans="2:6" x14ac:dyDescent="0.25">
      <c r="B18" s="37" t="s">
        <v>37</v>
      </c>
      <c r="C18" s="42" t="s">
        <v>38</v>
      </c>
      <c r="D18" s="42" t="s">
        <v>39</v>
      </c>
      <c r="E18" s="30">
        <v>329</v>
      </c>
      <c r="F18" s="31" t="s">
        <v>47</v>
      </c>
    </row>
    <row r="19" spans="2:6" x14ac:dyDescent="0.25">
      <c r="C19" s="2"/>
      <c r="E19" s="30"/>
    </row>
    <row r="20" spans="2:6" ht="30" x14ac:dyDescent="0.25">
      <c r="B20" s="37" t="s">
        <v>0</v>
      </c>
      <c r="C20" s="25" t="s">
        <v>1</v>
      </c>
      <c r="D20" s="3" t="s">
        <v>3</v>
      </c>
      <c r="E20" s="30" t="s">
        <v>53</v>
      </c>
      <c r="F20" s="31" t="s">
        <v>46</v>
      </c>
    </row>
    <row r="21" spans="2:6" x14ac:dyDescent="0.25">
      <c r="C21" s="2"/>
      <c r="E21" t="s">
        <v>54</v>
      </c>
    </row>
    <row r="22" spans="2:6" x14ac:dyDescent="0.25">
      <c r="C22" s="2"/>
    </row>
    <row r="23" spans="2:6" x14ac:dyDescent="0.25">
      <c r="C23" s="2"/>
    </row>
  </sheetData>
  <mergeCells count="4">
    <mergeCell ref="D10:D11"/>
    <mergeCell ref="D8:D9"/>
    <mergeCell ref="C8:C11"/>
    <mergeCell ref="B8:B11"/>
  </mergeCells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D317476 user</dc:creator>
  <cp:lastModifiedBy>Šidová Veronika, Mgr.</cp:lastModifiedBy>
  <dcterms:created xsi:type="dcterms:W3CDTF">2024-01-31T13:30:37Z</dcterms:created>
  <dcterms:modified xsi:type="dcterms:W3CDTF">2024-04-10T05:27:43Z</dcterms:modified>
</cp:coreProperties>
</file>